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пущения" sheetId="1" state="visible" r:id="rId1"/>
    <sheet xmlns:r="http://schemas.openxmlformats.org/officeDocument/2006/relationships" name="Дашборд" sheetId="2" state="visible" r:id="rId2"/>
    <sheet xmlns:r="http://schemas.openxmlformats.org/officeDocument/2006/relationships" name="Показатели" sheetId="3" state="visible" r:id="rId3"/>
    <sheet xmlns:r="http://schemas.openxmlformats.org/officeDocument/2006/relationships" name="Выручка" sheetId="4" state="visible" r:id="rId4"/>
    <sheet xmlns:r="http://schemas.openxmlformats.org/officeDocument/2006/relationships" name="P&amp;L" sheetId="5" state="visible" r:id="rId5"/>
    <sheet xmlns:r="http://schemas.openxmlformats.org/officeDocument/2006/relationships" name="Инвестиции" sheetId="6" state="visible" r:id="rId6"/>
    <sheet xmlns:r="http://schemas.openxmlformats.org/officeDocument/2006/relationships" name="Кредит" sheetId="7" state="visible" r:id="rId7"/>
    <sheet xmlns:r="http://schemas.openxmlformats.org/officeDocument/2006/relationships" name="ДДС" sheetId="8" state="visible" r:id="rId8"/>
    <sheet xmlns:r="http://schemas.openxmlformats.org/officeDocument/2006/relationships" name="Баланс" sheetId="9" state="visible" r:id="rId9"/>
    <sheet xmlns:r="http://schemas.openxmlformats.org/officeDocument/2006/relationships" name="Чувствительность" sheetId="10" state="visible" r:id="rId10"/>
  </sheets>
  <definedNames>
    <definedName name="Множ_цены">Допущения!$B$8</definedName>
    <definedName name="Множ_объёма">Допущения!$B$9</definedName>
    <definedName name="Множ_переменных">Допущения!$B$10</definedName>
    <definedName name="Множ_постоянных">Допущения!$B$11</definedName>
    <definedName name="Множ_CAPEX">Допущения!$B$12</definedName>
    <definedName name="Ставка_налога">Допущения!$B$17</definedName>
    <definedName name="Ставка_диск">Допущения!$B$18</definedName>
    <definedName name="Сумма_кредита">Допущения!$B$53</definedName>
    <definedName name="Ставка_кредита">Допущения!$B$54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;[Red]-#,##0.0"/>
    <numFmt numFmtId="166" formatCode="#,##0;[Red]-#,##0"/>
  </numFmts>
  <fonts count="10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color rgb="009C6500"/>
    </font>
    <font>
      <b val="1"/>
      <color rgb="00FFFFFF"/>
    </font>
    <font>
      <b val="1"/>
      <color rgb="001F3A5F"/>
    </font>
    <font>
      <color rgb="00888888"/>
      <sz val="9"/>
    </font>
    <font>
      <color rgb="00666666"/>
      <sz val="9"/>
    </font>
    <font>
      <b val="1"/>
    </font>
    <font>
      <color rgb="00C00000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2CC"/>
      </patternFill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0" pivotButton="0" quotePrefix="0" xfId="0"/>
    <xf numFmtId="2" fontId="0" fillId="3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0" fontId="0" fillId="0" borderId="0" applyAlignment="1" pivotButton="0" quotePrefix="0" xfId="0">
      <alignment wrapText="1"/>
    </xf>
    <xf numFmtId="0" fontId="8" fillId="0" borderId="0" pivotButton="0" quotePrefix="0" xfId="0"/>
    <xf numFmtId="166" fontId="0" fillId="4" borderId="0" pivotButton="0" quotePrefix="0" xfId="0"/>
    <xf numFmtId="164" fontId="0" fillId="4" borderId="0" pivotButton="0" quotePrefix="0" xfId="0"/>
    <xf numFmtId="165" fontId="0" fillId="4" borderId="0" pivotButton="0" quotePrefix="0" xfId="0"/>
    <xf numFmtId="2" fontId="0" fillId="4" borderId="0" pivotButton="0" quotePrefix="0" xfId="0"/>
    <xf numFmtId="0" fontId="4" fillId="2" borderId="0" applyAlignment="1" pivotButton="0" quotePrefix="0" xfId="0">
      <alignment horizontal="center" wrapText="1"/>
    </xf>
    <xf numFmtId="165" fontId="0" fillId="0" borderId="0" pivotButton="0" quotePrefix="0" xfId="0"/>
    <xf numFmtId="166" fontId="8" fillId="0" borderId="0" pivotButton="0" quotePrefix="0" xfId="0"/>
    <xf numFmtId="166" fontId="8" fillId="4" borderId="0" pivotButton="0" quotePrefix="0" xfId="0"/>
    <xf numFmtId="166" fontId="0" fillId="0" borderId="0" pivotButton="0" quotePrefix="0" xfId="0"/>
    <xf numFmtId="164" fontId="0" fillId="0" borderId="0" pivotButton="0" quotePrefix="0" xfId="0"/>
    <xf numFmtId="2" fontId="8" fillId="0" borderId="0" pivotButton="0" quotePrefix="0" xfId="0"/>
    <xf numFmtId="2" fontId="0" fillId="0" borderId="0" pivotButton="0" quotePrefix="0" xfId="0"/>
    <xf numFmtId="49" fontId="0" fillId="0" borderId="0" pivotButton="0" quotePrefix="0" xfId="0"/>
    <xf numFmtId="166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Выручка и EBITDA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'P&amp;L'!C5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'P&amp;L'!$D$4:$H$4</f>
            </numRef>
          </cat>
          <val>
            <numRef>
              <f>'P&amp;L'!$D$5:$H$5</f>
            </numRef>
          </val>
        </ser>
        <ser>
          <idx val="1"/>
          <order val="1"/>
          <tx>
            <strRef>
              <f>'P&amp;L'!C15</f>
            </strRef>
          </tx>
          <spPr>
            <a:ln xmlns:a="http://schemas.openxmlformats.org/drawingml/2006/main">
              <a:prstDash val="solid"/>
            </a:ln>
          </spPr>
          <cat>
            <numRef>
              <f>'P&amp;L'!$D$4:$H$4</f>
            </numRef>
          </cat>
          <val>
            <numRef>
              <f>'P&amp;L'!$D$15:$H$15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Деньги на конец периода и накопленный FCFF</a:t>
            </a:r>
          </a:p>
        </rich>
      </tx>
    </title>
    <plotArea>
      <lineChart>
        <grouping val="standard"/>
        <ser>
          <idx val="0"/>
          <order val="0"/>
          <tx>
            <strRef>
              <f>'ДДС'!C26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'ДДС'!$C$4:$H$4</f>
            </numRef>
          </cat>
          <val>
            <numRef>
              <f>'ДДС'!$D$26:$H$26</f>
            </numRef>
          </val>
        </ser>
        <ser>
          <idx val="1"/>
          <order val="1"/>
          <tx>
            <strRef>
              <f>'ДДС'!C30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'ДДС'!$C$4:$H$4</f>
            </numRef>
          </cat>
          <val>
            <numRef>
              <f>'ДДС'!$D$30:$H$30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DSCR по периодам (норма ≥ 1,2)</a:t>
            </a:r>
          </a:p>
        </rich>
      </tx>
    </title>
    <plotArea>
      <lineChart>
        <grouping val="standard"/>
        <ser>
          <idx val="0"/>
          <order val="0"/>
          <tx>
            <strRef>
              <f>'Кредит'!C11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'P&amp;L'!$D$4:$H$4</f>
            </numRef>
          </cat>
          <val>
            <numRef>
              <f>'Кредит'!$D$11:$H$11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23</row>
      <rowOff>0</rowOff>
    </from>
    <ext cx="792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44</row>
      <rowOff>0</rowOff>
    </from>
    <ext cx="792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2" customWidth="1" min="3" max="3"/>
    <col width="70" customWidth="1" min="4" max="4"/>
  </cols>
  <sheetData>
    <row r="1">
      <c r="A1" s="1" t="inlineStr">
        <is>
          <t>Финансовая модель: Пекарня-кофейня «Утро» (демо)</t>
        </is>
      </c>
    </row>
    <row r="2">
      <c r="A2" s="2" t="inlineStr">
        <is>
          <t>ООО «Утро» · HoReCa (кафе, ресторан, отель) · 5 лет по годам · суммы в тыс. ₽ без НДС</t>
        </is>
      </c>
    </row>
    <row r="3">
      <c r="A3" s="3" t="inlineStr">
        <is>
          <t>Жёлтые ячейки — вводные. Меняйте их: все листы пересчитываются формулами.</t>
        </is>
      </c>
    </row>
    <row r="5">
      <c r="A5" s="4" t="inlineStr">
        <is>
          <t>Параметр</t>
        </is>
      </c>
      <c r="B5" s="4" t="inlineStr">
        <is>
          <t>Значение</t>
        </is>
      </c>
      <c r="C5" s="4" t="inlineStr">
        <is>
          <t>Ед.</t>
        </is>
      </c>
      <c r="D5" s="4" t="inlineStr">
        <is>
          <t>Комментарий</t>
        </is>
      </c>
    </row>
    <row r="7">
      <c r="A7" s="5" t="inlineStr">
        <is>
          <t>Сценарий (множители для анализа чувствительности прямо в Excel)</t>
        </is>
      </c>
    </row>
    <row r="8">
      <c r="A8" t="inlineStr">
        <is>
          <t>Множитель цены</t>
        </is>
      </c>
      <c r="B8" s="6" t="n">
        <v>1</v>
      </c>
      <c r="C8" s="7" t="inlineStr">
        <is>
          <t>x</t>
        </is>
      </c>
      <c r="D8" s="8" t="inlineStr">
        <is>
          <t>1,00 = базовый сценарий; 0,9 = цены на 10 % ниже</t>
        </is>
      </c>
    </row>
    <row r="9">
      <c r="A9" t="inlineStr">
        <is>
          <t>Множитель объёма продаж</t>
        </is>
      </c>
      <c r="B9" s="6" t="n">
        <v>1</v>
      </c>
      <c r="C9" s="7" t="inlineStr">
        <is>
          <t>x</t>
        </is>
      </c>
      <c r="D9" s="8" t="inlineStr"/>
    </row>
    <row r="10">
      <c r="A10" t="inlineStr">
        <is>
          <t>Множитель переменных расходов</t>
        </is>
      </c>
      <c r="B10" s="6" t="n">
        <v>1</v>
      </c>
      <c r="C10" s="7" t="inlineStr">
        <is>
          <t>x</t>
        </is>
      </c>
      <c r="D10" s="8" t="inlineStr"/>
    </row>
    <row r="11">
      <c r="A11" t="inlineStr">
        <is>
          <t>Множитель постоянных расходов и ФОТ</t>
        </is>
      </c>
      <c r="B11" s="6" t="n">
        <v>1</v>
      </c>
      <c r="C11" s="7" t="inlineStr">
        <is>
          <t>x</t>
        </is>
      </c>
      <c r="D11" s="8" t="inlineStr"/>
    </row>
    <row r="12">
      <c r="A12" t="inlineStr">
        <is>
          <t>Множитель инвестиций</t>
        </is>
      </c>
      <c r="B12" s="6" t="n">
        <v>1</v>
      </c>
      <c r="C12" s="7" t="inlineStr">
        <is>
          <t>x</t>
        </is>
      </c>
      <c r="D12" s="8" t="inlineStr"/>
    </row>
    <row r="14">
      <c r="A14" s="5" t="inlineStr">
        <is>
          <t>Общие</t>
        </is>
      </c>
    </row>
    <row r="15">
      <c r="A15" t="inlineStr">
        <is>
          <t>Периодов в году</t>
        </is>
      </c>
      <c r="B15" s="9" t="n">
        <v>1</v>
      </c>
      <c r="C15" s="7" t="inlineStr">
        <is>
          <t>шт</t>
        </is>
      </c>
      <c r="D15" s="8" t="inlineStr">
        <is>
          <t>год</t>
        </is>
      </c>
    </row>
    <row r="16">
      <c r="A16" t="inlineStr">
        <is>
          <t>Инфляция постоянных расходов</t>
        </is>
      </c>
      <c r="B16" s="10" t="n">
        <v>0.06</v>
      </c>
      <c r="C16" s="7" t="inlineStr">
        <is>
          <t>% в год</t>
        </is>
      </c>
      <c r="D16" s="8" t="inlineStr">
        <is>
          <t>индексация аренды и прочих постоянных</t>
        </is>
      </c>
    </row>
    <row r="17">
      <c r="A17" t="inlineStr">
        <is>
          <t>Ставка налога</t>
        </is>
      </c>
      <c r="B17" s="10" t="n">
        <v>0.25</v>
      </c>
      <c r="C17" s="7" t="inlineStr">
        <is>
          <t>%</t>
        </is>
      </c>
      <c r="D17" s="8" t="inlineStr">
        <is>
          <t>ОСН: налог на прибыль</t>
        </is>
      </c>
    </row>
    <row r="18">
      <c r="A18" t="inlineStr">
        <is>
          <t>Ставка дисконтирования (WACC)</t>
        </is>
      </c>
      <c r="B18" s="10" t="n">
        <v>0.22</v>
      </c>
      <c r="C18" s="7" t="inlineStr">
        <is>
          <t>% в год</t>
        </is>
      </c>
      <c r="D18" s="8" t="inlineStr">
        <is>
          <t>для NPV</t>
        </is>
      </c>
    </row>
    <row r="20">
      <c r="A20" s="5" t="inlineStr">
        <is>
          <t>Выручка</t>
        </is>
      </c>
    </row>
    <row r="21">
      <c r="A21" t="inlineStr">
        <is>
          <t>Выпечка: цена</t>
        </is>
      </c>
      <c r="B21" s="11" t="n">
        <v>120</v>
      </c>
      <c r="C21" s="7" t="inlineStr">
        <is>
          <t>₽/ед</t>
        </is>
      </c>
      <c r="D21" s="8" t="inlineStr">
        <is>
          <t>цена первого периода без НДС</t>
        </is>
      </c>
    </row>
    <row r="22">
      <c r="A22" t="inlineStr">
        <is>
          <t>Выпечка: объём за год</t>
        </is>
      </c>
      <c r="B22" s="12" t="n">
        <v>150000</v>
      </c>
      <c r="C22" s="7" t="inlineStr">
        <is>
          <t>ед/год</t>
        </is>
      </c>
      <c r="D22" s="8" t="inlineStr">
        <is>
          <t>объём первого года</t>
        </is>
      </c>
    </row>
    <row r="23">
      <c r="A23" t="inlineStr">
        <is>
          <t>Выпечка: рост объёма</t>
        </is>
      </c>
      <c r="B23" s="10" t="n">
        <v>0.12</v>
      </c>
      <c r="C23" s="7" t="inlineStr">
        <is>
          <t>% в год</t>
        </is>
      </c>
      <c r="D23" s="8" t="inlineStr"/>
    </row>
    <row r="24">
      <c r="A24" t="inlineStr">
        <is>
          <t>Выпечка: индексация цены</t>
        </is>
      </c>
      <c r="B24" s="10" t="n">
        <v>0.06</v>
      </c>
      <c r="C24" s="7" t="inlineStr">
        <is>
          <t>% в год</t>
        </is>
      </c>
      <c r="D24" s="8" t="inlineStr"/>
    </row>
    <row r="25">
      <c r="A25" t="inlineStr">
        <is>
          <t>Кофе и напитки: цена</t>
        </is>
      </c>
      <c r="B25" s="11" t="n">
        <v>180</v>
      </c>
      <c r="C25" s="7" t="inlineStr">
        <is>
          <t>₽/ед</t>
        </is>
      </c>
      <c r="D25" s="8" t="inlineStr">
        <is>
          <t>цена первого периода без НДС</t>
        </is>
      </c>
    </row>
    <row r="26">
      <c r="A26" t="inlineStr">
        <is>
          <t>Кофе и напитки: объём за год</t>
        </is>
      </c>
      <c r="B26" s="12" t="n">
        <v>60000</v>
      </c>
      <c r="C26" s="7" t="inlineStr">
        <is>
          <t>ед/год</t>
        </is>
      </c>
      <c r="D26" s="8" t="inlineStr">
        <is>
          <t>объём первого года</t>
        </is>
      </c>
    </row>
    <row r="27">
      <c r="A27" t="inlineStr">
        <is>
          <t>Кофе и напитки: рост объёма</t>
        </is>
      </c>
      <c r="B27" s="10" t="n">
        <v>0.15</v>
      </c>
      <c r="C27" s="7" t="inlineStr">
        <is>
          <t>% в год</t>
        </is>
      </c>
      <c r="D27" s="8" t="inlineStr"/>
    </row>
    <row r="28">
      <c r="A28" t="inlineStr">
        <is>
          <t>Кофе и напитки: индексация цены</t>
        </is>
      </c>
      <c r="B28" s="10" t="n">
        <v>0.05</v>
      </c>
      <c r="C28" s="7" t="inlineStr">
        <is>
          <t>% в год</t>
        </is>
      </c>
      <c r="D28" s="8" t="inlineStr"/>
    </row>
    <row r="30">
      <c r="A30" s="5" t="inlineStr">
        <is>
          <t>Расходы</t>
        </is>
      </c>
    </row>
    <row r="31">
      <c r="A31" t="inlineStr">
        <is>
          <t>Переменные расходы (себестоимость)</t>
        </is>
      </c>
      <c r="B31" s="10" t="n">
        <v>0.38</v>
      </c>
      <c r="C31" s="7" t="inlineStr">
        <is>
          <t>% выручки</t>
        </is>
      </c>
      <c r="D31" s="8" t="inlineStr">
        <is>
          <t>сырьё, закупка, комиссии</t>
        </is>
      </c>
    </row>
    <row r="32">
      <c r="A32" t="inlineStr">
        <is>
          <t>Маркетинг</t>
        </is>
      </c>
      <c r="B32" s="10" t="n">
        <v>0.03</v>
      </c>
      <c r="C32" s="7" t="inlineStr">
        <is>
          <t>% выручки</t>
        </is>
      </c>
      <c r="D32" s="8" t="inlineStr"/>
    </row>
    <row r="33">
      <c r="A33" t="inlineStr">
        <is>
          <t>Аренда (за год)</t>
        </is>
      </c>
      <c r="B33" s="12" t="n">
        <v>2400</v>
      </c>
      <c r="C33" s="7" t="inlineStr">
        <is>
          <t>тыс. ₽</t>
        </is>
      </c>
      <c r="D33" s="8" t="inlineStr">
        <is>
          <t>первый год</t>
        </is>
      </c>
    </row>
    <row r="34">
      <c r="A34" t="inlineStr">
        <is>
          <t>Аренда: индексация</t>
        </is>
      </c>
      <c r="B34" s="10" t="n">
        <v>0.06</v>
      </c>
      <c r="C34" s="7" t="inlineStr">
        <is>
          <t>% в год</t>
        </is>
      </c>
      <c r="D34" s="8" t="inlineStr">
        <is>
          <t>по умолчанию = инфляция</t>
        </is>
      </c>
    </row>
    <row r="35">
      <c r="A35" t="inlineStr">
        <is>
          <t>Коммунальные, связь, прочие (за год)</t>
        </is>
      </c>
      <c r="B35" s="12" t="n">
        <v>900</v>
      </c>
      <c r="C35" s="7" t="inlineStr">
        <is>
          <t>тыс. ₽</t>
        </is>
      </c>
      <c r="D35" s="8" t="inlineStr">
        <is>
          <t>первый год</t>
        </is>
      </c>
    </row>
    <row r="36">
      <c r="A36" t="inlineStr">
        <is>
          <t>Коммунальные, связь, прочие: индексация</t>
        </is>
      </c>
      <c r="B36" s="10" t="n">
        <v>0.06</v>
      </c>
      <c r="C36" s="7" t="inlineStr">
        <is>
          <t>% в год</t>
        </is>
      </c>
      <c r="D36" s="8" t="inlineStr">
        <is>
          <t>по умолчанию = инфляция</t>
        </is>
      </c>
    </row>
    <row r="37">
      <c r="A37" t="inlineStr">
        <is>
          <t>Штат</t>
        </is>
      </c>
      <c r="B37" s="11" t="n">
        <v>8</v>
      </c>
      <c r="C37" s="7" t="inlineStr">
        <is>
          <t>чел</t>
        </is>
      </c>
      <c r="D37" s="8" t="inlineStr"/>
    </row>
    <row r="38">
      <c r="A38" t="inlineStr">
        <is>
          <t>Средняя зарплата (на руки + НДФЛ)</t>
        </is>
      </c>
      <c r="B38" s="11" t="n">
        <v>60</v>
      </c>
      <c r="C38" s="7" t="inlineStr">
        <is>
          <t>тыс. ₽/мес</t>
        </is>
      </c>
      <c r="D38" s="8" t="inlineStr">
        <is>
          <t>начисленная, до страховых взносов</t>
        </is>
      </c>
    </row>
    <row r="39">
      <c r="A39" t="inlineStr">
        <is>
          <t>Страховые взносы</t>
        </is>
      </c>
      <c r="B39" s="10" t="n">
        <v>0.3</v>
      </c>
      <c r="C39" s="7" t="inlineStr">
        <is>
          <t>%</t>
        </is>
      </c>
      <c r="D39" s="8" t="inlineStr">
        <is>
          <t>30 % ОСН; 15 % для МСП свыше МРОТ — усреднить</t>
        </is>
      </c>
    </row>
    <row r="40">
      <c r="A40" t="inlineStr">
        <is>
          <t>Индексация зарплат</t>
        </is>
      </c>
      <c r="B40" s="10" t="n">
        <v>0.08</v>
      </c>
      <c r="C40" s="7" t="inlineStr">
        <is>
          <t>% в год</t>
        </is>
      </c>
      <c r="D40" s="8" t="inlineStr"/>
    </row>
    <row r="42">
      <c r="A42" s="5" t="inlineStr">
        <is>
          <t>Оборотный капитал</t>
        </is>
      </c>
    </row>
    <row r="43">
      <c r="A43" t="inlineStr">
        <is>
          <t>Дебиторская задолженность</t>
        </is>
      </c>
      <c r="B43" s="12" t="n">
        <v>1</v>
      </c>
      <c r="C43" s="7" t="inlineStr">
        <is>
          <t>дней выручки</t>
        </is>
      </c>
      <c r="D43" s="8" t="inlineStr"/>
    </row>
    <row r="44">
      <c r="A44" t="inlineStr">
        <is>
          <t>Запасы</t>
        </is>
      </c>
      <c r="B44" s="12" t="n">
        <v>10</v>
      </c>
      <c r="C44" s="7" t="inlineStr">
        <is>
          <t>дней себестоимости</t>
        </is>
      </c>
      <c r="D44" s="8" t="inlineStr"/>
    </row>
    <row r="45">
      <c r="A45" t="inlineStr">
        <is>
          <t>Кредиторская задолженность</t>
        </is>
      </c>
      <c r="B45" s="12" t="n">
        <v>14</v>
      </c>
      <c r="C45" s="7" t="inlineStr">
        <is>
          <t>дней расходов</t>
        </is>
      </c>
      <c r="D45" s="8" t="inlineStr"/>
    </row>
    <row r="47">
      <c r="A47" s="5" t="inlineStr">
        <is>
          <t>Инвестиции</t>
        </is>
      </c>
    </row>
    <row r="48">
      <c r="A48" t="inlineStr">
        <is>
          <t>Оборудование и ремонт</t>
        </is>
      </c>
      <c r="B48" s="12" t="n">
        <v>9000</v>
      </c>
      <c r="C48" s="7" t="inlineStr">
        <is>
          <t>тыс. ₽</t>
        </is>
      </c>
      <c r="D48" s="8" t="inlineStr">
        <is>
          <t>период 0 (Старт), срок амортизации 7 лет</t>
        </is>
      </c>
    </row>
    <row r="50">
      <c r="A50" s="5" t="inlineStr">
        <is>
          <t>Финансирование</t>
        </is>
      </c>
    </row>
    <row r="51">
      <c r="A51" t="inlineStr">
        <is>
          <t>Собственные средства (на старте)</t>
        </is>
      </c>
      <c r="B51" s="12" t="n">
        <v>4000</v>
      </c>
      <c r="C51" s="7" t="inlineStr">
        <is>
          <t>тыс. ₽</t>
        </is>
      </c>
      <c r="D51" s="8" t="inlineStr"/>
    </row>
    <row r="52">
      <c r="A52" t="inlineStr">
        <is>
          <t>Деньги на счёте на старте</t>
        </is>
      </c>
      <c r="B52" s="12" t="n">
        <v>0</v>
      </c>
      <c r="C52" s="7" t="inlineStr">
        <is>
          <t>тыс. ₽</t>
        </is>
      </c>
      <c r="D52" s="8" t="inlineStr"/>
    </row>
    <row r="53">
      <c r="A53" t="inlineStr">
        <is>
          <t>Кредит: сумма</t>
        </is>
      </c>
      <c r="B53" s="12" t="n">
        <v>7000</v>
      </c>
      <c r="C53" s="7" t="inlineStr">
        <is>
          <t>тыс. ₽</t>
        </is>
      </c>
      <c r="D53" s="8" t="inlineStr">
        <is>
          <t>выдача: Старт</t>
        </is>
      </c>
    </row>
    <row r="54">
      <c r="A54" t="inlineStr">
        <is>
          <t>Кредит: ставка</t>
        </is>
      </c>
      <c r="B54" s="10" t="n">
        <v>0.21</v>
      </c>
      <c r="C54" s="7" t="inlineStr">
        <is>
          <t>% в год</t>
        </is>
      </c>
      <c r="D54" s="8" t="inlineStr"/>
    </row>
    <row r="55">
      <c r="A55" t="inlineStr">
        <is>
          <t>Кредит: срок</t>
        </is>
      </c>
      <c r="B55" s="11" t="n">
        <v>5</v>
      </c>
      <c r="C55" s="7" t="inlineStr">
        <is>
          <t>лет</t>
        </is>
      </c>
      <c r="D55" s="8" t="inlineStr"/>
    </row>
    <row r="56">
      <c r="A56" t="inlineStr">
        <is>
          <t>Кредит: льготный период (только проценты)</t>
        </is>
      </c>
      <c r="B56" s="11" t="n">
        <v>1</v>
      </c>
      <c r="C56" s="7" t="inlineStr">
        <is>
          <t>лет</t>
        </is>
      </c>
      <c r="D56" s="8" t="inlineStr"/>
    </row>
    <row r="57">
      <c r="A57" t="inlineStr">
        <is>
          <t>Кредит: график</t>
        </is>
      </c>
      <c r="B57" s="9" t="inlineStr">
        <is>
          <t>аннуитет</t>
        </is>
      </c>
      <c r="C57" s="7" t="inlineStr"/>
      <c r="D57" s="8" t="inlineStr"/>
    </row>
    <row r="59">
      <c r="A59" s="5" t="inlineStr">
        <is>
          <t>Что принято по умолчанию (не было в задании) — проверьте</t>
        </is>
      </c>
    </row>
    <row r="60">
      <c r="A60" s="13" t="inlineStr">
        <is>
          <t>• ставка дисконтирования 22 % (ключевая + 5 п.п.) принята по умолчанию</t>
        </is>
      </c>
    </row>
    <row r="61">
      <c r="A61" s="13" t="inlineStr">
        <is>
          <t>• дни оборота по шаблону HoReCa: дебиторка 1, запасы 10, кредиторка 14</t>
        </is>
      </c>
    </row>
    <row r="63">
      <c r="A63" s="5" t="inlineStr">
        <is>
          <t>Источники вводных</t>
        </is>
      </c>
    </row>
    <row r="64">
      <c r="A64" t="inlineStr">
        <is>
          <t>• демонстрационные вводные Konsilito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mergeCells count="3">
    <mergeCell ref="A64:D64"/>
    <mergeCell ref="A60:D60"/>
    <mergeCell ref="A61:D61"/>
  </mergeCells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Дашборд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</cols>
  <sheetData>
    <row r="1">
      <c r="A1" s="1" t="inlineStr">
        <is>
          <t>Ключевые показатели проекта</t>
        </is>
      </c>
    </row>
    <row r="3">
      <c r="A3" s="14" t="inlineStr">
        <is>
          <t>NPV (чистая приведённая стоимость)</t>
        </is>
      </c>
      <c r="B3" s="15">
        <f>NPV(((1+Допущения!$B$18)^(1/Допущения!$B$15)-1),ДДС!D29:H29)+ДДС!C29</f>
        <v/>
      </c>
      <c r="C3" s="8" t="inlineStr">
        <is>
          <t>дисконтирование FCFF по ставке WACC; &gt; 0 — проект создаёт стоимость</t>
        </is>
      </c>
    </row>
    <row r="4">
      <c r="A4" s="14" t="inlineStr">
        <is>
          <t>IRR (внутренняя норма доходности), годовых</t>
        </is>
      </c>
      <c r="B4" s="16">
        <f>IFERROR((1+IRR(ДДС!C29:H29))^Допущения!$B$15-1,"н/д")</f>
        <v/>
      </c>
      <c r="C4" s="8" t="inlineStr">
        <is>
          <t>должна быть выше ставки дисконтирования и ставки кредита</t>
        </is>
      </c>
    </row>
    <row r="5">
      <c r="A5" s="14" t="inlineStr">
        <is>
          <t>Срок окупаемости (простой), лет</t>
        </is>
      </c>
      <c r="B5" s="17">
        <f>IF(OR(COUNTIF(ДДС!D30:H30,"&lt;0")&gt;=5,ДДС!H30&lt;0),"не окупается",(COUNTIF(ДДС!D30:H30,"&lt;0")+MAX(0,-INDEX(ДДС!C30:H30,1,COUNTIF(ДДС!D30:H30,"&lt;0")+1))/MAX(0.000001,INDEX(ДДС!C29:H29,1,COUNTIF(ДДС!D30:H30,"&lt;0")+2)))/Допущения!$B$15)</f>
        <v/>
      </c>
      <c r="C5" s="8" t="inlineStr">
        <is>
          <t>периоды с отрицательным накопленным FCFF + доля периода выхода в плюс</t>
        </is>
      </c>
    </row>
    <row r="6">
      <c r="A6" s="14" t="inlineStr">
        <is>
          <t>Выручка последнего года</t>
        </is>
      </c>
      <c r="B6" s="15">
        <f>SUM('P&amp;L'!H5:H5)</f>
        <v/>
      </c>
      <c r="C6" s="8" t="inlineStr"/>
    </row>
    <row r="7">
      <c r="A7" s="14" t="inlineStr">
        <is>
          <t>EBITDA последнего года</t>
        </is>
      </c>
      <c r="B7" s="15">
        <f>SUM('P&amp;L'!H15:H15)</f>
        <v/>
      </c>
      <c r="C7" s="8" t="inlineStr"/>
    </row>
    <row r="8">
      <c r="A8" s="14" t="inlineStr">
        <is>
          <t>Рентабельность по EBITDA, последний год</t>
        </is>
      </c>
      <c r="B8" s="16">
        <f>IF(B6=0,0,B7/B6)</f>
        <v/>
      </c>
      <c r="C8" s="8" t="inlineStr"/>
    </row>
    <row r="9">
      <c r="A9" s="14" t="inlineStr">
        <is>
          <t>Чистая прибыль за весь горизонт</t>
        </is>
      </c>
      <c r="B9" s="15">
        <f>SUM('P&amp;L'!D22:H22)</f>
        <v/>
      </c>
      <c r="C9" s="8" t="inlineStr"/>
    </row>
    <row r="10">
      <c r="A10" s="14" t="inlineStr">
        <is>
          <t>Минимальный остаток денег</t>
        </is>
      </c>
      <c r="B10" s="15">
        <f>MIN(ДДС!C26:H26)</f>
        <v/>
      </c>
      <c r="C10" s="8" t="inlineStr">
        <is>
          <t>отрицательное значение = кассовый разрыв, нужен больший кредит или взнос</t>
        </is>
      </c>
    </row>
    <row r="11">
      <c r="A11" s="14" t="inlineStr">
        <is>
          <t>Минимальный DSCR</t>
        </is>
      </c>
      <c r="B11" s="18">
        <f>IFERROR(MIN(Кредит!D11:H11),"н/д")</f>
        <v/>
      </c>
      <c r="C11" s="8" t="inlineStr">
        <is>
          <t>норма банков ≥ 1,2–1,3</t>
        </is>
      </c>
    </row>
    <row r="12">
      <c r="A12" s="14" t="inlineStr">
        <is>
          <t>Точка безубыточности по выручке, первый год</t>
        </is>
      </c>
      <c r="B12" s="15">
        <f>IFERROR(-(SUM('P&amp;L'!D14:D14)+SUM('P&amp;L'!D12:D12)+SUM('P&amp;L'!D17:D17)+SUM('P&amp;L'!D19:D19))/(1-Допущения!$B$31*Допущения!$B$10-Допущения!$B$32),"н/д")</f>
        <v/>
      </c>
      <c r="C12" s="8" t="inlineStr">
        <is>
          <t>выручка, при которой прибыль = 0</t>
        </is>
      </c>
    </row>
    <row r="13">
      <c r="A13" s="14" t="inlineStr">
        <is>
          <t>Запас прочности по выручке, первый год</t>
        </is>
      </c>
      <c r="B13" s="16">
        <f>IFERROR(1-B12/SUM('P&amp;L'!D5:D5),"н/д")</f>
        <v/>
      </c>
      <c r="C13" s="8" t="inlineStr">
        <is>
          <t>насколько может упасть выручка до убытка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Выручка по продуктам</t>
        </is>
      </c>
    </row>
    <row r="2">
      <c r="A2" s="2" t="inlineStr">
        <is>
          <t>объём × цена; рост по годам пересчитан в ставку за период</t>
        </is>
      </c>
    </row>
    <row r="4">
      <c r="A4" s="19" t="inlineStr">
        <is>
          <t>Показатель</t>
        </is>
      </c>
      <c r="B4" s="19" t="inlineStr">
        <is>
          <t>ед.</t>
        </is>
      </c>
      <c r="C4" s="19" t="inlineStr">
        <is>
          <t>Старт</t>
        </is>
      </c>
      <c r="D4" s="19" t="inlineStr">
        <is>
          <t>2026</t>
        </is>
      </c>
      <c r="E4" s="19" t="inlineStr">
        <is>
          <t>2027</t>
        </is>
      </c>
      <c r="F4" s="19" t="inlineStr">
        <is>
          <t>2028</t>
        </is>
      </c>
      <c r="G4" s="19" t="inlineStr">
        <is>
          <t>2029</t>
        </is>
      </c>
      <c r="H4" s="19" t="inlineStr">
        <is>
          <t>2030</t>
        </is>
      </c>
    </row>
    <row r="5">
      <c r="A5" s="5" t="inlineStr">
        <is>
          <t>Выпечка</t>
        </is>
      </c>
    </row>
    <row r="6">
      <c r="A6" t="inlineStr">
        <is>
          <t>Объём продаж</t>
        </is>
      </c>
      <c r="B6" s="7" t="inlineStr">
        <is>
          <t>ед</t>
        </is>
      </c>
      <c r="D6" s="20">
        <f>Допущения!$B$22/Допущения!$B$15*Допущения!$B$9</f>
        <v/>
      </c>
      <c r="E6" s="20">
        <f>D6*(1+Допущения!$B$23)^(1/Допущения!$B$15)</f>
        <v/>
      </c>
      <c r="F6" s="20">
        <f>E6*(1+Допущения!$B$23)^(1/Допущения!$B$15)</f>
        <v/>
      </c>
      <c r="G6" s="20">
        <f>F6*(1+Допущения!$B$23)^(1/Допущения!$B$15)</f>
        <v/>
      </c>
      <c r="H6" s="20">
        <f>G6*(1+Допущения!$B$23)^(1/Допущения!$B$15)</f>
        <v/>
      </c>
    </row>
    <row r="7">
      <c r="A7" t="inlineStr">
        <is>
          <t>Цена</t>
        </is>
      </c>
      <c r="B7" s="7" t="inlineStr">
        <is>
          <t>₽/ед</t>
        </is>
      </c>
      <c r="D7" s="20">
        <f>Допущения!$B$21*Допущения!$B$8</f>
        <v/>
      </c>
      <c r="E7" s="20">
        <f>D7*(1+Допущения!$B$24)^(1/Допущения!$B$15)</f>
        <v/>
      </c>
      <c r="F7" s="20">
        <f>E7*(1+Допущения!$B$24)^(1/Допущения!$B$15)</f>
        <v/>
      </c>
      <c r="G7" s="20">
        <f>F7*(1+Допущения!$B$24)^(1/Допущения!$B$15)</f>
        <v/>
      </c>
      <c r="H7" s="20">
        <f>G7*(1+Допущения!$B$24)^(1/Допущения!$B$15)</f>
        <v/>
      </c>
    </row>
    <row r="8">
      <c r="A8" s="14" t="inlineStr">
        <is>
          <t>Выручка</t>
        </is>
      </c>
      <c r="B8" s="7" t="inlineStr">
        <is>
          <t>тыс. ₽</t>
        </is>
      </c>
      <c r="D8" s="21">
        <f>D6*D7/1000</f>
        <v/>
      </c>
      <c r="E8" s="21">
        <f>E6*E7/1000</f>
        <v/>
      </c>
      <c r="F8" s="21">
        <f>F6*F7/1000</f>
        <v/>
      </c>
      <c r="G8" s="21">
        <f>G6*G7/1000</f>
        <v/>
      </c>
      <c r="H8" s="21">
        <f>H6*H7/1000</f>
        <v/>
      </c>
    </row>
    <row r="9">
      <c r="A9" s="5" t="inlineStr">
        <is>
          <t>Кофе и напитки</t>
        </is>
      </c>
    </row>
    <row r="10">
      <c r="A10" t="inlineStr">
        <is>
          <t>Объём продаж</t>
        </is>
      </c>
      <c r="B10" s="7" t="inlineStr">
        <is>
          <t>ед</t>
        </is>
      </c>
      <c r="D10" s="20">
        <f>Допущения!$B$26/Допущения!$B$15*Допущения!$B$9</f>
        <v/>
      </c>
      <c r="E10" s="20">
        <f>D10*(1+Допущения!$B$27)^(1/Допущения!$B$15)</f>
        <v/>
      </c>
      <c r="F10" s="20">
        <f>E10*(1+Допущения!$B$27)^(1/Допущения!$B$15)</f>
        <v/>
      </c>
      <c r="G10" s="20">
        <f>F10*(1+Допущения!$B$27)^(1/Допущения!$B$15)</f>
        <v/>
      </c>
      <c r="H10" s="20">
        <f>G10*(1+Допущения!$B$27)^(1/Допущения!$B$15)</f>
        <v/>
      </c>
    </row>
    <row r="11">
      <c r="A11" t="inlineStr">
        <is>
          <t>Цена</t>
        </is>
      </c>
      <c r="B11" s="7" t="inlineStr">
        <is>
          <t>₽/ед</t>
        </is>
      </c>
      <c r="D11" s="20">
        <f>Допущения!$B$25*Допущения!$B$8</f>
        <v/>
      </c>
      <c r="E11" s="20">
        <f>D11*(1+Допущения!$B$28)^(1/Допущения!$B$15)</f>
        <v/>
      </c>
      <c r="F11" s="20">
        <f>E11*(1+Допущения!$B$28)^(1/Допущения!$B$15)</f>
        <v/>
      </c>
      <c r="G11" s="20">
        <f>F11*(1+Допущения!$B$28)^(1/Допущения!$B$15)</f>
        <v/>
      </c>
      <c r="H11" s="20">
        <f>G11*(1+Допущения!$B$28)^(1/Допущения!$B$15)</f>
        <v/>
      </c>
    </row>
    <row r="12">
      <c r="A12" s="14" t="inlineStr">
        <is>
          <t>Выручка</t>
        </is>
      </c>
      <c r="B12" s="7" t="inlineStr">
        <is>
          <t>тыс. ₽</t>
        </is>
      </c>
      <c r="D12" s="21">
        <f>D10*D11/1000</f>
        <v/>
      </c>
      <c r="E12" s="21">
        <f>E10*E11/1000</f>
        <v/>
      </c>
      <c r="F12" s="21">
        <f>F10*F11/1000</f>
        <v/>
      </c>
      <c r="G12" s="21">
        <f>G10*G11/1000</f>
        <v/>
      </c>
      <c r="H12" s="21">
        <f>H10*H11/1000</f>
        <v/>
      </c>
    </row>
    <row r="14">
      <c r="A14" s="14" t="inlineStr">
        <is>
          <t>ИТОГО выручка</t>
        </is>
      </c>
      <c r="B14" s="7" t="inlineStr">
        <is>
          <t>тыс. ₽</t>
        </is>
      </c>
      <c r="D14" s="22">
        <f>D8+D12</f>
        <v/>
      </c>
      <c r="E14" s="22">
        <f>E8+E12</f>
        <v/>
      </c>
      <c r="F14" s="22">
        <f>F8+F12</f>
        <v/>
      </c>
      <c r="G14" s="22">
        <f>G8+G12</f>
        <v/>
      </c>
      <c r="H14" s="22">
        <f>H8+H12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Отчёт о прибылях и убытках (P&amp;L)</t>
        </is>
      </c>
    </row>
    <row r="2">
      <c r="A2" s="2" t="inlineStr">
        <is>
          <t>тыс. ₽, без НДС</t>
        </is>
      </c>
    </row>
    <row r="4">
      <c r="A4" s="19" t="inlineStr">
        <is>
          <t>Показатель</t>
        </is>
      </c>
      <c r="B4" s="19" t="inlineStr">
        <is>
          <t>ед.</t>
        </is>
      </c>
      <c r="C4" s="19" t="inlineStr">
        <is>
          <t>Старт</t>
        </is>
      </c>
      <c r="D4" s="19" t="inlineStr">
        <is>
          <t>2026</t>
        </is>
      </c>
      <c r="E4" s="19" t="inlineStr">
        <is>
          <t>2027</t>
        </is>
      </c>
      <c r="F4" s="19" t="inlineStr">
        <is>
          <t>2028</t>
        </is>
      </c>
      <c r="G4" s="19" t="inlineStr">
        <is>
          <t>2029</t>
        </is>
      </c>
      <c r="H4" s="19" t="inlineStr">
        <is>
          <t>2030</t>
        </is>
      </c>
    </row>
    <row r="5">
      <c r="A5" s="14" t="inlineStr">
        <is>
          <t>Выручка</t>
        </is>
      </c>
      <c r="B5" s="7" t="inlineStr">
        <is>
          <t>тыс. ₽</t>
        </is>
      </c>
      <c r="D5" s="21">
        <f>Выручка!D14</f>
        <v/>
      </c>
      <c r="E5" s="21">
        <f>Выручка!E14</f>
        <v/>
      </c>
      <c r="F5" s="21">
        <f>Выручка!F14</f>
        <v/>
      </c>
      <c r="G5" s="21">
        <f>Выручка!G14</f>
        <v/>
      </c>
      <c r="H5" s="21">
        <f>Выручка!H14</f>
        <v/>
      </c>
    </row>
    <row r="6">
      <c r="A6" t="inlineStr">
        <is>
          <t>Переменные расходы (себестоимость)</t>
        </is>
      </c>
      <c r="B6" s="7" t="inlineStr">
        <is>
          <t>тыс. ₽</t>
        </is>
      </c>
      <c r="D6" s="23">
        <f>-D5*Допущения!$B$31*Допущения!$B$10</f>
        <v/>
      </c>
      <c r="E6" s="23">
        <f>-E5*Допущения!$B$31*Допущения!$B$10</f>
        <v/>
      </c>
      <c r="F6" s="23">
        <f>-F5*Допущения!$B$31*Допущения!$B$10</f>
        <v/>
      </c>
      <c r="G6" s="23">
        <f>-G5*Допущения!$B$31*Допущения!$B$10</f>
        <v/>
      </c>
      <c r="H6" s="23">
        <f>-H5*Допущения!$B$31*Допущения!$B$10</f>
        <v/>
      </c>
    </row>
    <row r="7">
      <c r="A7" s="14" t="inlineStr">
        <is>
          <t>Валовая прибыль</t>
        </is>
      </c>
      <c r="B7" s="7" t="inlineStr">
        <is>
          <t>тыс. ₽</t>
        </is>
      </c>
      <c r="D7" s="22">
        <f>D5+D6</f>
        <v/>
      </c>
      <c r="E7" s="22">
        <f>E5+E6</f>
        <v/>
      </c>
      <c r="F7" s="22">
        <f>F5+F6</f>
        <v/>
      </c>
      <c r="G7" s="22">
        <f>G5+G6</f>
        <v/>
      </c>
      <c r="H7" s="22">
        <f>H5+H6</f>
        <v/>
      </c>
    </row>
    <row r="8">
      <c r="A8" t="inlineStr">
        <is>
          <t>Валовая маржа</t>
        </is>
      </c>
      <c r="B8" s="7" t="inlineStr">
        <is>
          <t>%</t>
        </is>
      </c>
      <c r="D8" s="24">
        <f>IF(D5=0,0,D7/D5)</f>
        <v/>
      </c>
      <c r="E8" s="24">
        <f>IF(E5=0,0,E7/E5)</f>
        <v/>
      </c>
      <c r="F8" s="24">
        <f>IF(F5=0,0,F7/F5)</f>
        <v/>
      </c>
      <c r="G8" s="24">
        <f>IF(G5=0,0,G7/G5)</f>
        <v/>
      </c>
      <c r="H8" s="24">
        <f>IF(H5=0,0,H7/H5)</f>
        <v/>
      </c>
    </row>
    <row r="9">
      <c r="A9" s="5" t="inlineStr">
        <is>
          <t>Постоянные расходы</t>
        </is>
      </c>
    </row>
    <row r="10">
      <c r="A10" t="inlineStr">
        <is>
          <t>Аренда</t>
        </is>
      </c>
      <c r="B10" s="7" t="inlineStr">
        <is>
          <t>тыс. ₽</t>
        </is>
      </c>
      <c r="D10" s="23">
        <f>-Допущения!$B$33/Допущения!$B$15*Допущения!$B$11</f>
        <v/>
      </c>
      <c r="E10" s="23">
        <f>D10*(1+Допущения!$B$34)^(1/Допущения!$B$15)</f>
        <v/>
      </c>
      <c r="F10" s="23">
        <f>E10*(1+Допущения!$B$34)^(1/Допущения!$B$15)</f>
        <v/>
      </c>
      <c r="G10" s="23">
        <f>F10*(1+Допущения!$B$34)^(1/Допущения!$B$15)</f>
        <v/>
      </c>
      <c r="H10" s="23">
        <f>G10*(1+Допущения!$B$34)^(1/Допущения!$B$15)</f>
        <v/>
      </c>
    </row>
    <row r="11">
      <c r="A11" t="inlineStr">
        <is>
          <t>Коммунальные, связь, прочие</t>
        </is>
      </c>
      <c r="B11" s="7" t="inlineStr">
        <is>
          <t>тыс. ₽</t>
        </is>
      </c>
      <c r="D11" s="23">
        <f>-Допущения!$B$35/Допущения!$B$15*Допущения!$B$11</f>
        <v/>
      </c>
      <c r="E11" s="23">
        <f>D11*(1+Допущения!$B$36)^(1/Допущения!$B$15)</f>
        <v/>
      </c>
      <c r="F11" s="23">
        <f>E11*(1+Допущения!$B$36)^(1/Допущения!$B$15)</f>
        <v/>
      </c>
      <c r="G11" s="23">
        <f>F11*(1+Допущения!$B$36)^(1/Допущения!$B$15)</f>
        <v/>
      </c>
      <c r="H11" s="23">
        <f>G11*(1+Допущения!$B$36)^(1/Допущения!$B$15)</f>
        <v/>
      </c>
    </row>
    <row r="12">
      <c r="A12" t="inlineStr">
        <is>
          <t>ФОТ со страховыми взносами</t>
        </is>
      </c>
      <c r="B12" s="7" t="inlineStr">
        <is>
          <t>тыс. ₽</t>
        </is>
      </c>
      <c r="D12" s="23">
        <f>-Допущения!$B$37*Допущения!$B$38*12/Допущения!$B$15*(1+Допущения!$B$39)*Допущения!$B$11</f>
        <v/>
      </c>
      <c r="E12" s="23">
        <f>D12*(1+Допущения!$B$40)^(1/Допущения!$B$15)</f>
        <v/>
      </c>
      <c r="F12" s="23">
        <f>E12*(1+Допущения!$B$40)^(1/Допущения!$B$15)</f>
        <v/>
      </c>
      <c r="G12" s="23">
        <f>F12*(1+Допущения!$B$40)^(1/Допущения!$B$15)</f>
        <v/>
      </c>
      <c r="H12" s="23">
        <f>G12*(1+Допущения!$B$40)^(1/Допущения!$B$15)</f>
        <v/>
      </c>
    </row>
    <row r="13">
      <c r="A13" t="inlineStr">
        <is>
          <t>Маркетинг</t>
        </is>
      </c>
      <c r="B13" s="7" t="inlineStr">
        <is>
          <t>тыс. ₽</t>
        </is>
      </c>
      <c r="D13" s="23">
        <f>-D5*Допущения!$B$32</f>
        <v/>
      </c>
      <c r="E13" s="23">
        <f>-E5*Допущения!$B$32</f>
        <v/>
      </c>
      <c r="F13" s="23">
        <f>-F5*Допущения!$B$32</f>
        <v/>
      </c>
      <c r="G13" s="23">
        <f>-G5*Допущения!$B$32</f>
        <v/>
      </c>
      <c r="H13" s="23">
        <f>-H5*Допущения!$B$32</f>
        <v/>
      </c>
    </row>
    <row r="14">
      <c r="A14" t="inlineStr">
        <is>
          <t>Итого постоянные расходы</t>
        </is>
      </c>
      <c r="B14" s="7" t="inlineStr">
        <is>
          <t>тыс. ₽</t>
        </is>
      </c>
      <c r="D14" s="23">
        <f>D10+D11</f>
        <v/>
      </c>
      <c r="E14" s="23">
        <f>E10+E11</f>
        <v/>
      </c>
      <c r="F14" s="23">
        <f>F10+F11</f>
        <v/>
      </c>
      <c r="G14" s="23">
        <f>G10+G11</f>
        <v/>
      </c>
      <c r="H14" s="23">
        <f>H10+H11</f>
        <v/>
      </c>
    </row>
    <row r="15">
      <c r="A15" s="14" t="inlineStr">
        <is>
          <t>EBITDA</t>
        </is>
      </c>
      <c r="B15" s="7" t="inlineStr">
        <is>
          <t>тыс. ₽</t>
        </is>
      </c>
      <c r="D15" s="22">
        <f>D7+D14+D12+D13</f>
        <v/>
      </c>
      <c r="E15" s="22">
        <f>E7+E14+E12+E13</f>
        <v/>
      </c>
      <c r="F15" s="22">
        <f>F7+F14+F12+F13</f>
        <v/>
      </c>
      <c r="G15" s="22">
        <f>G7+G14+G12+G13</f>
        <v/>
      </c>
      <c r="H15" s="22">
        <f>H7+H14+H12+H13</f>
        <v/>
      </c>
    </row>
    <row r="16">
      <c r="A16" t="inlineStr">
        <is>
          <t>Рентабельность по EBITDA</t>
        </is>
      </c>
      <c r="B16" s="7" t="inlineStr">
        <is>
          <t>%</t>
        </is>
      </c>
      <c r="D16" s="24">
        <f>IF(D5=0,0,D15/D5)</f>
        <v/>
      </c>
      <c r="E16" s="24">
        <f>IF(E5=0,0,E15/E5)</f>
        <v/>
      </c>
      <c r="F16" s="24">
        <f>IF(F5=0,0,F15/F5)</f>
        <v/>
      </c>
      <c r="G16" s="24">
        <f>IF(G5=0,0,G15/G5)</f>
        <v/>
      </c>
      <c r="H16" s="24">
        <f>IF(H5=0,0,H15/H5)</f>
        <v/>
      </c>
    </row>
    <row r="17">
      <c r="A17" t="inlineStr">
        <is>
          <t>Амортизация</t>
        </is>
      </c>
      <c r="B17" s="7" t="inlineStr">
        <is>
          <t>тыс. ₽</t>
        </is>
      </c>
      <c r="D17" s="23">
        <f>-Инвестиции!D9</f>
        <v/>
      </c>
      <c r="E17" s="23">
        <f>-Инвестиции!E9</f>
        <v/>
      </c>
      <c r="F17" s="23">
        <f>-Инвестиции!F9</f>
        <v/>
      </c>
      <c r="G17" s="23">
        <f>-Инвестиции!G9</f>
        <v/>
      </c>
      <c r="H17" s="23">
        <f>-Инвестиции!H9</f>
        <v/>
      </c>
    </row>
    <row r="18">
      <c r="A18" s="14" t="inlineStr">
        <is>
          <t>EBIT (операционная прибыль)</t>
        </is>
      </c>
      <c r="B18" s="7" t="inlineStr">
        <is>
          <t>тыс. ₽</t>
        </is>
      </c>
      <c r="D18" s="22">
        <f>D15+D17</f>
        <v/>
      </c>
      <c r="E18" s="22">
        <f>E15+E17</f>
        <v/>
      </c>
      <c r="F18" s="22">
        <f>F15+F17</f>
        <v/>
      </c>
      <c r="G18" s="22">
        <f>G15+G17</f>
        <v/>
      </c>
      <c r="H18" s="22">
        <f>H15+H17</f>
        <v/>
      </c>
    </row>
    <row r="19">
      <c r="A19" t="inlineStr">
        <is>
          <t>Проценты по кредиту</t>
        </is>
      </c>
      <c r="B19" s="7" t="inlineStr">
        <is>
          <t>тыс. ₽</t>
        </is>
      </c>
      <c r="D19" s="23">
        <f>-Кредит!D7</f>
        <v/>
      </c>
      <c r="E19" s="23">
        <f>-Кредит!E7</f>
        <v/>
      </c>
      <c r="F19" s="23">
        <f>-Кредит!F7</f>
        <v/>
      </c>
      <c r="G19" s="23">
        <f>-Кредит!G7</f>
        <v/>
      </c>
      <c r="H19" s="23">
        <f>-Кредит!H7</f>
        <v/>
      </c>
    </row>
    <row r="20">
      <c r="A20" t="inlineStr">
        <is>
          <t>Прибыль до налога</t>
        </is>
      </c>
      <c r="B20" s="7" t="inlineStr">
        <is>
          <t>тыс. ₽</t>
        </is>
      </c>
      <c r="D20" s="23">
        <f>D18+D19</f>
        <v/>
      </c>
      <c r="E20" s="23">
        <f>E18+E19</f>
        <v/>
      </c>
      <c r="F20" s="23">
        <f>F18+F19</f>
        <v/>
      </c>
      <c r="G20" s="23">
        <f>G18+G19</f>
        <v/>
      </c>
      <c r="H20" s="23">
        <f>H18+H19</f>
        <v/>
      </c>
    </row>
    <row r="21">
      <c r="A21" t="inlineStr">
        <is>
          <t>Налог</t>
        </is>
      </c>
      <c r="B21" s="7" t="inlineStr">
        <is>
          <t>тыс. ₽</t>
        </is>
      </c>
      <c r="D21" s="23">
        <f>-MAX(0,D20)*Допущения!$B$17</f>
        <v/>
      </c>
      <c r="E21" s="23">
        <f>-MAX(0,E20)*Допущения!$B$17</f>
        <v/>
      </c>
      <c r="F21" s="23">
        <f>-MAX(0,F20)*Допущения!$B$17</f>
        <v/>
      </c>
      <c r="G21" s="23">
        <f>-MAX(0,G20)*Допущения!$B$17</f>
        <v/>
      </c>
      <c r="H21" s="23">
        <f>-MAX(0,H20)*Допущения!$B$17</f>
        <v/>
      </c>
    </row>
    <row r="22">
      <c r="A22" s="14" t="inlineStr">
        <is>
          <t>ЧИСТАЯ ПРИБЫЛЬ</t>
        </is>
      </c>
      <c r="B22" s="7" t="inlineStr">
        <is>
          <t>тыс. ₽</t>
        </is>
      </c>
      <c r="D22" s="22">
        <f>D20+D21</f>
        <v/>
      </c>
      <c r="E22" s="22">
        <f>E20+E21</f>
        <v/>
      </c>
      <c r="F22" s="22">
        <f>F20+F21</f>
        <v/>
      </c>
      <c r="G22" s="22">
        <f>G20+G21</f>
        <v/>
      </c>
      <c r="H22" s="22">
        <f>H20+H21</f>
        <v/>
      </c>
    </row>
    <row r="23">
      <c r="A23" t="inlineStr">
        <is>
          <t>Чистая рентабельность</t>
        </is>
      </c>
      <c r="B23" s="7" t="inlineStr">
        <is>
          <t>%</t>
        </is>
      </c>
      <c r="D23" s="24">
        <f>IF(D5=0,0,D22/D5)</f>
        <v/>
      </c>
      <c r="E23" s="24">
        <f>IF(E5=0,0,E22/E5)</f>
        <v/>
      </c>
      <c r="F23" s="24">
        <f>IF(F5=0,0,F22/F5)</f>
        <v/>
      </c>
      <c r="G23" s="24">
        <f>IF(G5=0,0,G22/G5)</f>
        <v/>
      </c>
      <c r="H23" s="24">
        <f>IF(H5=0,0,H22/H5)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Инвестиции и амортизация</t>
        </is>
      </c>
    </row>
    <row r="2">
      <c r="A2" s="2" t="inlineStr">
        <is>
          <t>линейная амортизация с периода, следующего за вводом</t>
        </is>
      </c>
    </row>
    <row r="4">
      <c r="A4" s="19" t="inlineStr">
        <is>
          <t>Показатель</t>
        </is>
      </c>
      <c r="B4" s="19" t="inlineStr">
        <is>
          <t>ед.</t>
        </is>
      </c>
      <c r="C4" s="19" t="inlineStr">
        <is>
          <t>Старт</t>
        </is>
      </c>
      <c r="D4" s="19" t="inlineStr">
        <is>
          <t>2026</t>
        </is>
      </c>
      <c r="E4" s="19" t="inlineStr">
        <is>
          <t>2027</t>
        </is>
      </c>
      <c r="F4" s="19" t="inlineStr">
        <is>
          <t>2028</t>
        </is>
      </c>
      <c r="G4" s="19" t="inlineStr">
        <is>
          <t>2029</t>
        </is>
      </c>
      <c r="H4" s="19" t="inlineStr">
        <is>
          <t>2030</t>
        </is>
      </c>
    </row>
    <row r="5">
      <c r="A5" t="inlineStr">
        <is>
          <t>Оборудование и ремонт: инвестиции</t>
        </is>
      </c>
      <c r="B5" s="7" t="inlineStr">
        <is>
          <t>тыс. ₽</t>
        </is>
      </c>
      <c r="C5" s="23">
        <f>Допущения!$B$48*Допущения!$B$12</f>
        <v/>
      </c>
      <c r="D5" s="23" t="n">
        <v>0</v>
      </c>
      <c r="E5" s="23" t="n">
        <v>0</v>
      </c>
      <c r="F5" s="23" t="n">
        <v>0</v>
      </c>
      <c r="G5" s="23" t="n">
        <v>0</v>
      </c>
      <c r="H5" s="23" t="n">
        <v>0</v>
      </c>
    </row>
    <row r="6">
      <c r="A6" t="inlineStr">
        <is>
          <t>Оборудование и ремонт: амортизация</t>
        </is>
      </c>
      <c r="B6" s="7" t="inlineStr">
        <is>
          <t>тыс. ₽</t>
        </is>
      </c>
      <c r="C6" s="23" t="n">
        <v>0</v>
      </c>
      <c r="D6" s="23">
        <f>C5/7</f>
        <v/>
      </c>
      <c r="E6" s="23">
        <f>C5/7</f>
        <v/>
      </c>
      <c r="F6" s="23">
        <f>C5/7</f>
        <v/>
      </c>
      <c r="G6" s="23">
        <f>C5/7</f>
        <v/>
      </c>
      <c r="H6" s="23">
        <f>C5/7</f>
        <v/>
      </c>
    </row>
    <row r="8">
      <c r="A8" s="14" t="inlineStr">
        <is>
          <t>ИТОГО инвестиции</t>
        </is>
      </c>
      <c r="B8" s="7" t="inlineStr">
        <is>
          <t>тыс. ₽</t>
        </is>
      </c>
      <c r="C8" s="22">
        <f>C5</f>
        <v/>
      </c>
      <c r="D8" s="22">
        <f>D5</f>
        <v/>
      </c>
      <c r="E8" s="22">
        <f>E5</f>
        <v/>
      </c>
      <c r="F8" s="22">
        <f>F5</f>
        <v/>
      </c>
      <c r="G8" s="22">
        <f>G5</f>
        <v/>
      </c>
      <c r="H8" s="22">
        <f>H5</f>
        <v/>
      </c>
    </row>
    <row r="9">
      <c r="A9" s="14" t="inlineStr">
        <is>
          <t>ИТОГО амортизация</t>
        </is>
      </c>
      <c r="B9" s="7" t="inlineStr">
        <is>
          <t>тыс. ₽</t>
        </is>
      </c>
      <c r="C9" s="22">
        <f>C6</f>
        <v/>
      </c>
      <c r="D9" s="22">
        <f>D6</f>
        <v/>
      </c>
      <c r="E9" s="22">
        <f>E6</f>
        <v/>
      </c>
      <c r="F9" s="22">
        <f>F6</f>
        <v/>
      </c>
      <c r="G9" s="22">
        <f>G6</f>
        <v/>
      </c>
      <c r="H9" s="22">
        <f>H6</f>
        <v/>
      </c>
    </row>
    <row r="10">
      <c r="A10" s="14" t="inlineStr">
        <is>
          <t>Основные средства (остаточная стоимость)</t>
        </is>
      </c>
      <c r="B10" s="7" t="inlineStr">
        <is>
          <t>тыс. ₽</t>
        </is>
      </c>
      <c r="C10" s="21">
        <f>C8-C9</f>
        <v/>
      </c>
      <c r="D10" s="21">
        <f>C10+D8-D9</f>
        <v/>
      </c>
      <c r="E10" s="21">
        <f>D10+E8-E9</f>
        <v/>
      </c>
      <c r="F10" s="21">
        <f>E10+F8-F9</f>
        <v/>
      </c>
      <c r="G10" s="21">
        <f>F10+G8-G9</f>
        <v/>
      </c>
      <c r="H10" s="21">
        <f>G10+H8-H9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График кредита</t>
        </is>
      </c>
    </row>
    <row r="2">
      <c r="A2" s="2" t="inlineStr">
        <is>
          <t>аннуитет</t>
        </is>
      </c>
    </row>
    <row r="4">
      <c r="A4" s="19" t="inlineStr">
        <is>
          <t>Показатель</t>
        </is>
      </c>
      <c r="B4" s="19" t="inlineStr">
        <is>
          <t>ед.</t>
        </is>
      </c>
      <c r="C4" s="19" t="inlineStr">
        <is>
          <t>Старт</t>
        </is>
      </c>
      <c r="D4" s="19" t="inlineStr">
        <is>
          <t>2026</t>
        </is>
      </c>
      <c r="E4" s="19" t="inlineStr">
        <is>
          <t>2027</t>
        </is>
      </c>
      <c r="F4" s="19" t="inlineStr">
        <is>
          <t>2028</t>
        </is>
      </c>
      <c r="G4" s="19" t="inlineStr">
        <is>
          <t>2029</t>
        </is>
      </c>
      <c r="H4" s="19" t="inlineStr">
        <is>
          <t>2030</t>
        </is>
      </c>
    </row>
    <row r="5">
      <c r="A5" t="inlineStr">
        <is>
          <t>Выдача</t>
        </is>
      </c>
      <c r="B5" s="7" t="inlineStr">
        <is>
          <t>тыс. ₽</t>
        </is>
      </c>
      <c r="C5" s="23">
        <f>Допущения!$B$53</f>
        <v/>
      </c>
      <c r="D5" s="23" t="n">
        <v>0</v>
      </c>
      <c r="E5" s="23" t="n">
        <v>0</v>
      </c>
      <c r="F5" s="23" t="n">
        <v>0</v>
      </c>
      <c r="G5" s="23" t="n">
        <v>0</v>
      </c>
      <c r="H5" s="23" t="n">
        <v>0</v>
      </c>
    </row>
    <row r="6">
      <c r="A6" t="inlineStr">
        <is>
          <t>Долг на начало</t>
        </is>
      </c>
      <c r="B6" s="7" t="inlineStr">
        <is>
          <t>тыс. ₽</t>
        </is>
      </c>
      <c r="C6" s="23" t="n">
        <v>0</v>
      </c>
      <c r="D6" s="23">
        <f>C9</f>
        <v/>
      </c>
      <c r="E6" s="23">
        <f>D9</f>
        <v/>
      </c>
      <c r="F6" s="23">
        <f>E9</f>
        <v/>
      </c>
      <c r="G6" s="23">
        <f>F9</f>
        <v/>
      </c>
      <c r="H6" s="23">
        <f>G9</f>
        <v/>
      </c>
    </row>
    <row r="7">
      <c r="A7" t="inlineStr">
        <is>
          <t>Проценты</t>
        </is>
      </c>
      <c r="B7" s="7" t="inlineStr">
        <is>
          <t>тыс. ₽</t>
        </is>
      </c>
      <c r="C7" s="23" t="n">
        <v>0</v>
      </c>
      <c r="D7" s="23">
        <f>D6*(Допущения!$B$54/Допущения!$B$15)</f>
        <v/>
      </c>
      <c r="E7" s="23">
        <f>E6*(Допущения!$B$54/Допущения!$B$15)</f>
        <v/>
      </c>
      <c r="F7" s="23">
        <f>F6*(Допущения!$B$54/Допущения!$B$15)</f>
        <v/>
      </c>
      <c r="G7" s="23">
        <f>G6*(Допущения!$B$54/Допущения!$B$15)</f>
        <v/>
      </c>
      <c r="H7" s="23">
        <f>H6*(Допущения!$B$54/Допущения!$B$15)</f>
        <v/>
      </c>
    </row>
    <row r="8">
      <c r="A8" t="inlineStr">
        <is>
          <t>Погашение основного долга</t>
        </is>
      </c>
      <c r="B8" s="7" t="inlineStr">
        <is>
          <t>тыс. ₽</t>
        </is>
      </c>
      <c r="C8" s="23" t="n">
        <v>0</v>
      </c>
      <c r="D8" s="23" t="n">
        <v>0</v>
      </c>
      <c r="E8" s="23">
        <f>MIN(E6,PMT((Допущения!$B$54/Допущения!$B$15),4,-Допущения!$B$53)-E7)</f>
        <v/>
      </c>
      <c r="F8" s="23">
        <f>MIN(F6,PMT((Допущения!$B$54/Допущения!$B$15),4,-Допущения!$B$53)-F7)</f>
        <v/>
      </c>
      <c r="G8" s="23">
        <f>MIN(G6,PMT((Допущения!$B$54/Допущения!$B$15),4,-Допущения!$B$53)-G7)</f>
        <v/>
      </c>
      <c r="H8" s="23">
        <f>H6</f>
        <v/>
      </c>
    </row>
    <row r="9">
      <c r="A9" s="14" t="inlineStr">
        <is>
          <t>Долг на конец</t>
        </is>
      </c>
      <c r="B9" s="7" t="inlineStr">
        <is>
          <t>тыс. ₽</t>
        </is>
      </c>
      <c r="C9" s="21">
        <f>C6+C5-C8</f>
        <v/>
      </c>
      <c r="D9" s="21">
        <f>D6+D5-D8</f>
        <v/>
      </c>
      <c r="E9" s="21">
        <f>E6+E5-E8</f>
        <v/>
      </c>
      <c r="F9" s="21">
        <f>F6+F5-F8</f>
        <v/>
      </c>
      <c r="G9" s="21">
        <f>G6+G5-G8</f>
        <v/>
      </c>
      <c r="H9" s="21">
        <f>H6+H5-H8</f>
        <v/>
      </c>
    </row>
    <row r="10">
      <c r="A10" s="14" t="inlineStr">
        <is>
          <t>Обслуживание долга (проценты + тело)</t>
        </is>
      </c>
      <c r="B10" s="7" t="inlineStr">
        <is>
          <t>тыс. ₽</t>
        </is>
      </c>
      <c r="C10" s="22">
        <f>C7+C8</f>
        <v/>
      </c>
      <c r="D10" s="22">
        <f>D7+D8</f>
        <v/>
      </c>
      <c r="E10" s="22">
        <f>E7+E8</f>
        <v/>
      </c>
      <c r="F10" s="22">
        <f>F7+F8</f>
        <v/>
      </c>
      <c r="G10" s="22">
        <f>G7+G8</f>
        <v/>
      </c>
      <c r="H10" s="22">
        <f>H7+H8</f>
        <v/>
      </c>
    </row>
    <row r="11">
      <c r="A11" s="14" t="inlineStr">
        <is>
          <t>DSCR = (EBITDA − налог) / обслуживание долга</t>
        </is>
      </c>
      <c r="B11" s="7" t="inlineStr">
        <is>
          <t>x</t>
        </is>
      </c>
      <c r="D11" s="25">
        <f>IF(D10=0,"",('P&amp;L'!D15+'P&amp;L'!D21)/D10)</f>
        <v/>
      </c>
      <c r="E11" s="25">
        <f>IF(E10=0,"",('P&amp;L'!E15+'P&amp;L'!E21)/E10)</f>
        <v/>
      </c>
      <c r="F11" s="25">
        <f>IF(F10=0,"",('P&amp;L'!F15+'P&amp;L'!F21)/F10)</f>
        <v/>
      </c>
      <c r="G11" s="25">
        <f>IF(G10=0,"",('P&amp;L'!G15+'P&amp;L'!G21)/G10)</f>
        <v/>
      </c>
      <c r="H11" s="25">
        <f>IF(H10=0,"",('P&amp;L'!H15+'P&amp;L'!H21)/H10)</f>
        <v/>
      </c>
    </row>
    <row r="12">
      <c r="A12" t="inlineStr">
        <is>
          <t>ICR = EBIT / проценты</t>
        </is>
      </c>
      <c r="B12" s="7" t="inlineStr">
        <is>
          <t>x</t>
        </is>
      </c>
      <c r="D12" s="26">
        <f>IF(D7=0,"",'P&amp;L'!D18/D7)</f>
        <v/>
      </c>
      <c r="E12" s="26">
        <f>IF(E7=0,"",'P&amp;L'!E18/E7)</f>
        <v/>
      </c>
      <c r="F12" s="26">
        <f>IF(F7=0,"",'P&amp;L'!F18/F7)</f>
        <v/>
      </c>
      <c r="G12" s="26">
        <f>IF(G7=0,"",'P&amp;L'!G18/G7)</f>
        <v/>
      </c>
      <c r="H12" s="26">
        <f>IF(H7=0,"",'P&amp;L'!H18/H7)</f>
        <v/>
      </c>
    </row>
    <row r="14">
      <c r="A14" s="2" t="inlineStr">
        <is>
          <t>Норма банков: DSCR ≥ 1,2–1,3 в каждом периоде, ICR ≥ 2.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Движение денежных средств (косвенный метод)</t>
        </is>
      </c>
    </row>
    <row r="2">
      <c r="A2" s="2" t="inlineStr">
        <is>
          <t>тыс. ₽; проценты по кредиту — в финансовой деятельности</t>
        </is>
      </c>
    </row>
    <row r="4">
      <c r="A4" s="19" t="inlineStr">
        <is>
          <t>Показатель</t>
        </is>
      </c>
      <c r="B4" s="19" t="inlineStr">
        <is>
          <t>ед.</t>
        </is>
      </c>
      <c r="C4" s="19" t="inlineStr">
        <is>
          <t>Старт</t>
        </is>
      </c>
      <c r="D4" s="19" t="inlineStr">
        <is>
          <t>2026</t>
        </is>
      </c>
      <c r="E4" s="19" t="inlineStr">
        <is>
          <t>2027</t>
        </is>
      </c>
      <c r="F4" s="19" t="inlineStr">
        <is>
          <t>2028</t>
        </is>
      </c>
      <c r="G4" s="19" t="inlineStr">
        <is>
          <t>2029</t>
        </is>
      </c>
      <c r="H4" s="19" t="inlineStr">
        <is>
          <t>2030</t>
        </is>
      </c>
    </row>
    <row r="5">
      <c r="A5" s="5" t="inlineStr">
        <is>
          <t>Оборотный капитал</t>
        </is>
      </c>
    </row>
    <row r="6">
      <c r="A6" t="inlineStr">
        <is>
          <t>Дебиторская задолженность</t>
        </is>
      </c>
      <c r="B6" s="7" t="inlineStr">
        <is>
          <t>тыс. ₽</t>
        </is>
      </c>
      <c r="C6" s="23" t="n">
        <v>0</v>
      </c>
      <c r="D6" s="23">
        <f>'P&amp;L'!D5*Допущения!$B$43/(365/Допущения!$B$15)</f>
        <v/>
      </c>
      <c r="E6" s="23">
        <f>'P&amp;L'!E5*Допущения!$B$43/(365/Допущения!$B$15)</f>
        <v/>
      </c>
      <c r="F6" s="23">
        <f>'P&amp;L'!F5*Допущения!$B$43/(365/Допущения!$B$15)</f>
        <v/>
      </c>
      <c r="G6" s="23">
        <f>'P&amp;L'!G5*Допущения!$B$43/(365/Допущения!$B$15)</f>
        <v/>
      </c>
      <c r="H6" s="23">
        <f>'P&amp;L'!H5*Допущения!$B$43/(365/Допущения!$B$15)</f>
        <v/>
      </c>
    </row>
    <row r="7">
      <c r="A7" t="inlineStr">
        <is>
          <t>Запасы</t>
        </is>
      </c>
      <c r="B7" s="7" t="inlineStr">
        <is>
          <t>тыс. ₽</t>
        </is>
      </c>
      <c r="C7" s="23" t="n">
        <v>0</v>
      </c>
      <c r="D7" s="23">
        <f>-'P&amp;L'!D6*Допущения!$B$44/(365/Допущения!$B$15)</f>
        <v/>
      </c>
      <c r="E7" s="23">
        <f>-'P&amp;L'!E6*Допущения!$B$44/(365/Допущения!$B$15)</f>
        <v/>
      </c>
      <c r="F7" s="23">
        <f>-'P&amp;L'!F6*Допущения!$B$44/(365/Допущения!$B$15)</f>
        <v/>
      </c>
      <c r="G7" s="23">
        <f>-'P&amp;L'!G6*Допущения!$B$44/(365/Допущения!$B$15)</f>
        <v/>
      </c>
      <c r="H7" s="23">
        <f>-'P&amp;L'!H6*Допущения!$B$44/(365/Допущения!$B$15)</f>
        <v/>
      </c>
    </row>
    <row r="8">
      <c r="A8" t="inlineStr">
        <is>
          <t>Кредиторская задолженность</t>
        </is>
      </c>
      <c r="B8" s="7" t="inlineStr">
        <is>
          <t>тыс. ₽</t>
        </is>
      </c>
      <c r="C8" s="23" t="n">
        <v>0</v>
      </c>
      <c r="D8" s="23">
        <f>-('P&amp;L'!D6+'P&amp;L'!D14)*Допущения!$B$45/(365/Допущения!$B$15)</f>
        <v/>
      </c>
      <c r="E8" s="23">
        <f>-('P&amp;L'!E6+'P&amp;L'!E14)*Допущения!$B$45/(365/Допущения!$B$15)</f>
        <v/>
      </c>
      <c r="F8" s="23">
        <f>-('P&amp;L'!F6+'P&amp;L'!F14)*Допущения!$B$45/(365/Допущения!$B$15)</f>
        <v/>
      </c>
      <c r="G8" s="23">
        <f>-('P&amp;L'!G6+'P&amp;L'!G14)*Допущения!$B$45/(365/Допущения!$B$15)</f>
        <v/>
      </c>
      <c r="H8" s="23">
        <f>-('P&amp;L'!H6+'P&amp;L'!H14)*Допущения!$B$45/(365/Допущения!$B$15)</f>
        <v/>
      </c>
    </row>
    <row r="9">
      <c r="A9" s="14" t="inlineStr">
        <is>
          <t>Чистый оборотный капитал</t>
        </is>
      </c>
      <c r="B9" s="7" t="inlineStr">
        <is>
          <t>тыс. ₽</t>
        </is>
      </c>
      <c r="C9" s="21">
        <f>C6+C7-C8</f>
        <v/>
      </c>
      <c r="D9" s="21">
        <f>D6+D7-D8</f>
        <v/>
      </c>
      <c r="E9" s="21">
        <f>E6+E7-E8</f>
        <v/>
      </c>
      <c r="F9" s="21">
        <f>F6+F7-F8</f>
        <v/>
      </c>
      <c r="G9" s="21">
        <f>G6+G7-G8</f>
        <v/>
      </c>
      <c r="H9" s="21">
        <f>H6+H7-H8</f>
        <v/>
      </c>
    </row>
    <row r="10">
      <c r="A10" t="inlineStr">
        <is>
          <t>Прирост оборотного капитала</t>
        </is>
      </c>
      <c r="B10" s="7" t="inlineStr">
        <is>
          <t>тыс. ₽</t>
        </is>
      </c>
      <c r="C10" s="23" t="n">
        <v>0</v>
      </c>
      <c r="D10" s="23">
        <f>D9-C9</f>
        <v/>
      </c>
      <c r="E10" s="23">
        <f>E9-D9</f>
        <v/>
      </c>
      <c r="F10" s="23">
        <f>F9-E9</f>
        <v/>
      </c>
      <c r="G10" s="23">
        <f>G9-F9</f>
        <v/>
      </c>
      <c r="H10" s="23">
        <f>H9-G9</f>
        <v/>
      </c>
    </row>
    <row r="11">
      <c r="A11" s="5" t="inlineStr">
        <is>
          <t>Операционная деятельность</t>
        </is>
      </c>
    </row>
    <row r="12">
      <c r="A12" t="inlineStr">
        <is>
          <t>EBITDA</t>
        </is>
      </c>
      <c r="B12" s="7" t="inlineStr">
        <is>
          <t>тыс. ₽</t>
        </is>
      </c>
      <c r="C12" s="23" t="n">
        <v>0</v>
      </c>
      <c r="D12" s="23">
        <f>'P&amp;L'!D15</f>
        <v/>
      </c>
      <c r="E12" s="23">
        <f>'P&amp;L'!E15</f>
        <v/>
      </c>
      <c r="F12" s="23">
        <f>'P&amp;L'!F15</f>
        <v/>
      </c>
      <c r="G12" s="23">
        <f>'P&amp;L'!G15</f>
        <v/>
      </c>
      <c r="H12" s="23">
        <f>'P&amp;L'!H15</f>
        <v/>
      </c>
    </row>
    <row r="13">
      <c r="A13" t="inlineStr">
        <is>
          <t>Налог</t>
        </is>
      </c>
      <c r="B13" s="7" t="inlineStr">
        <is>
          <t>тыс. ₽</t>
        </is>
      </c>
      <c r="C13" s="23" t="n">
        <v>0</v>
      </c>
      <c r="D13" s="23">
        <f>'P&amp;L'!D21</f>
        <v/>
      </c>
      <c r="E13" s="23">
        <f>'P&amp;L'!E21</f>
        <v/>
      </c>
      <c r="F13" s="23">
        <f>'P&amp;L'!F21</f>
        <v/>
      </c>
      <c r="G13" s="23">
        <f>'P&amp;L'!G21</f>
        <v/>
      </c>
      <c r="H13" s="23">
        <f>'P&amp;L'!H21</f>
        <v/>
      </c>
    </row>
    <row r="14">
      <c r="A14" t="inlineStr">
        <is>
          <t>Изменение оборотного капитала</t>
        </is>
      </c>
      <c r="B14" s="7" t="inlineStr">
        <is>
          <t>тыс. ₽</t>
        </is>
      </c>
      <c r="C14" s="23">
        <f>-C10</f>
        <v/>
      </c>
      <c r="D14" s="23">
        <f>-D10</f>
        <v/>
      </c>
      <c r="E14" s="23">
        <f>-E10</f>
        <v/>
      </c>
      <c r="F14" s="23">
        <f>-F10</f>
        <v/>
      </c>
      <c r="G14" s="23">
        <f>-G10</f>
        <v/>
      </c>
      <c r="H14" s="23">
        <f>-H10</f>
        <v/>
      </c>
    </row>
    <row r="15">
      <c r="A15" s="14" t="inlineStr">
        <is>
          <t>Денежный поток от операций (CFO)</t>
        </is>
      </c>
      <c r="B15" s="7" t="inlineStr">
        <is>
          <t>тыс. ₽</t>
        </is>
      </c>
      <c r="C15" s="22">
        <f>C12+C13+C14</f>
        <v/>
      </c>
      <c r="D15" s="22">
        <f>D12+D13+D14</f>
        <v/>
      </c>
      <c r="E15" s="22">
        <f>E12+E13+E14</f>
        <v/>
      </c>
      <c r="F15" s="22">
        <f>F12+F13+F14</f>
        <v/>
      </c>
      <c r="G15" s="22">
        <f>G12+G13+G14</f>
        <v/>
      </c>
      <c r="H15" s="22">
        <f>H12+H13+H14</f>
        <v/>
      </c>
    </row>
    <row r="16">
      <c r="A16" s="5" t="inlineStr">
        <is>
          <t>Инвестиционная деятельность</t>
        </is>
      </c>
    </row>
    <row r="17">
      <c r="A17" s="14" t="inlineStr">
        <is>
          <t>Инвестиции (CFI)</t>
        </is>
      </c>
      <c r="B17" s="7" t="inlineStr">
        <is>
          <t>тыс. ₽</t>
        </is>
      </c>
      <c r="C17" s="22">
        <f>-Инвестиции!C8</f>
        <v/>
      </c>
      <c r="D17" s="22">
        <f>-Инвестиции!D8</f>
        <v/>
      </c>
      <c r="E17" s="22">
        <f>-Инвестиции!E8</f>
        <v/>
      </c>
      <c r="F17" s="22">
        <f>-Инвестиции!F8</f>
        <v/>
      </c>
      <c r="G17" s="22">
        <f>-Инвестиции!G8</f>
        <v/>
      </c>
      <c r="H17" s="22">
        <f>-Инвестиции!H8</f>
        <v/>
      </c>
    </row>
    <row r="18">
      <c r="A18" s="5" t="inlineStr">
        <is>
          <t>Финансовая деятельность</t>
        </is>
      </c>
    </row>
    <row r="19">
      <c r="A19" t="inlineStr">
        <is>
          <t>Взнос собственников</t>
        </is>
      </c>
      <c r="B19" s="7" t="inlineStr">
        <is>
          <t>тыс. ₽</t>
        </is>
      </c>
      <c r="C19" s="23">
        <f>Допущения!$B$51</f>
        <v/>
      </c>
      <c r="D19" s="23" t="n">
        <v>0</v>
      </c>
      <c r="E19" s="23" t="n">
        <v>0</v>
      </c>
      <c r="F19" s="23" t="n">
        <v>0</v>
      </c>
      <c r="G19" s="23" t="n">
        <v>0</v>
      </c>
      <c r="H19" s="23" t="n">
        <v>0</v>
      </c>
    </row>
    <row r="20">
      <c r="A20" t="inlineStr">
        <is>
          <t>Получение кредита</t>
        </is>
      </c>
      <c r="B20" s="7" t="inlineStr">
        <is>
          <t>тыс. ₽</t>
        </is>
      </c>
      <c r="C20" s="23">
        <f>Кредит!C5</f>
        <v/>
      </c>
      <c r="D20" s="23">
        <f>Кредит!D5</f>
        <v/>
      </c>
      <c r="E20" s="23">
        <f>Кредит!E5</f>
        <v/>
      </c>
      <c r="F20" s="23">
        <f>Кредит!F5</f>
        <v/>
      </c>
      <c r="G20" s="23">
        <f>Кредит!G5</f>
        <v/>
      </c>
      <c r="H20" s="23">
        <f>Кредит!H5</f>
        <v/>
      </c>
    </row>
    <row r="21">
      <c r="A21" t="inlineStr">
        <is>
          <t>Погашение кредита</t>
        </is>
      </c>
      <c r="B21" s="7" t="inlineStr">
        <is>
          <t>тыс. ₽</t>
        </is>
      </c>
      <c r="C21" s="23">
        <f>-Кредит!C8</f>
        <v/>
      </c>
      <c r="D21" s="23">
        <f>-Кредит!D8</f>
        <v/>
      </c>
      <c r="E21" s="23">
        <f>-Кредит!E8</f>
        <v/>
      </c>
      <c r="F21" s="23">
        <f>-Кредит!F8</f>
        <v/>
      </c>
      <c r="G21" s="23">
        <f>-Кредит!G8</f>
        <v/>
      </c>
      <c r="H21" s="23">
        <f>-Кредит!H8</f>
        <v/>
      </c>
    </row>
    <row r="22">
      <c r="A22" t="inlineStr">
        <is>
          <t>Проценты</t>
        </is>
      </c>
      <c r="B22" s="7" t="inlineStr">
        <is>
          <t>тыс. ₽</t>
        </is>
      </c>
      <c r="C22" s="23">
        <f>-Кредит!C7</f>
        <v/>
      </c>
      <c r="D22" s="23">
        <f>-Кредит!D7</f>
        <v/>
      </c>
      <c r="E22" s="23">
        <f>-Кредит!E7</f>
        <v/>
      </c>
      <c r="F22" s="23">
        <f>-Кредит!F7</f>
        <v/>
      </c>
      <c r="G22" s="23">
        <f>-Кредит!G7</f>
        <v/>
      </c>
      <c r="H22" s="23">
        <f>-Кредит!H7</f>
        <v/>
      </c>
    </row>
    <row r="23">
      <c r="A23" s="14" t="inlineStr">
        <is>
          <t>Денежный поток от финансирования (CFF)</t>
        </is>
      </c>
      <c r="B23" s="7" t="inlineStr">
        <is>
          <t>тыс. ₽</t>
        </is>
      </c>
      <c r="C23" s="22">
        <f>C19+C20+C21+C22</f>
        <v/>
      </c>
      <c r="D23" s="22">
        <f>D19+D20+D21+D22</f>
        <v/>
      </c>
      <c r="E23" s="22">
        <f>E19+E20+E21+E22</f>
        <v/>
      </c>
      <c r="F23" s="22">
        <f>F19+F20+F21+F22</f>
        <v/>
      </c>
      <c r="G23" s="22">
        <f>G19+G20+G21+G22</f>
        <v/>
      </c>
      <c r="H23" s="22">
        <f>H19+H20+H21+H22</f>
        <v/>
      </c>
    </row>
    <row r="25">
      <c r="A25" s="14" t="inlineStr">
        <is>
          <t>Чистый денежный поток</t>
        </is>
      </c>
      <c r="B25" s="7" t="inlineStr">
        <is>
          <t>тыс. ₽</t>
        </is>
      </c>
      <c r="C25" s="21">
        <f>C15+C17+C23</f>
        <v/>
      </c>
      <c r="D25" s="21">
        <f>D15+D17+D23</f>
        <v/>
      </c>
      <c r="E25" s="21">
        <f>E15+E17+E23</f>
        <v/>
      </c>
      <c r="F25" s="21">
        <f>F15+F17+F23</f>
        <v/>
      </c>
      <c r="G25" s="21">
        <f>G15+G17+G23</f>
        <v/>
      </c>
      <c r="H25" s="21">
        <f>H15+H17+H23</f>
        <v/>
      </c>
    </row>
    <row r="26">
      <c r="A26" s="14" t="inlineStr">
        <is>
          <t>ДЕНЬГИ НА КОНЕЦ ПЕРИОДА</t>
        </is>
      </c>
      <c r="B26" s="7" t="inlineStr">
        <is>
          <t>тыс. ₽</t>
        </is>
      </c>
      <c r="C26" s="22">
        <f>Допущения!$B$52+C25</f>
        <v/>
      </c>
      <c r="D26" s="22">
        <f>C26+D25</f>
        <v/>
      </c>
      <c r="E26" s="22">
        <f>D26+E25</f>
        <v/>
      </c>
      <c r="F26" s="22">
        <f>E26+F25</f>
        <v/>
      </c>
      <c r="G26" s="22">
        <f>F26+G25</f>
        <v/>
      </c>
      <c r="H26" s="22">
        <f>G26+H25</f>
        <v/>
      </c>
    </row>
    <row r="27">
      <c r="A27" t="inlineStr">
        <is>
          <t>Проверка: нет кассового разрыва</t>
        </is>
      </c>
      <c r="B27" s="7" t="inlineStr"/>
      <c r="C27" s="27">
        <f>IF(C26&gt;=0.0,"ок","РАЗРЫВ")</f>
        <v/>
      </c>
      <c r="D27" s="27">
        <f>IF(D26&gt;=0.0,"ок","РАЗРЫВ")</f>
        <v/>
      </c>
      <c r="E27" s="27">
        <f>IF(E26&gt;=0.0,"ок","РАЗРЫВ")</f>
        <v/>
      </c>
      <c r="F27" s="27">
        <f>IF(F26&gt;=0.0,"ок","РАЗРЫВ")</f>
        <v/>
      </c>
      <c r="G27" s="27">
        <f>IF(G26&gt;=0.0,"ок","РАЗРЫВ")</f>
        <v/>
      </c>
      <c r="H27" s="27">
        <f>IF(H26&gt;=0.0,"ок","РАЗРЫВ")</f>
        <v/>
      </c>
    </row>
    <row r="28">
      <c r="A28" s="5" t="inlineStr">
        <is>
          <t>Свободный денежный поток для оценки (FCFF)</t>
        </is>
      </c>
    </row>
    <row r="29">
      <c r="A29" s="14" t="inlineStr">
        <is>
          <t>FCFF = EBITDA − налог на EBIT − ΔОК − CAPEX</t>
        </is>
      </c>
      <c r="B29" s="7" t="inlineStr">
        <is>
          <t>тыс. ₽</t>
        </is>
      </c>
      <c r="C29" s="21">
        <f>C14+C17</f>
        <v/>
      </c>
      <c r="D29" s="21">
        <f>D12-MAX(0,'P&amp;L'!D18)*Допущения!$B$17+D14+D17</f>
        <v/>
      </c>
      <c r="E29" s="21">
        <f>E12-MAX(0,'P&amp;L'!E18)*Допущения!$B$17+E14+E17</f>
        <v/>
      </c>
      <c r="F29" s="21">
        <f>F12-MAX(0,'P&amp;L'!F18)*Допущения!$B$17+F14+F17</f>
        <v/>
      </c>
      <c r="G29" s="21">
        <f>G12-MAX(0,'P&amp;L'!G18)*Допущения!$B$17+G14+G17</f>
        <v/>
      </c>
      <c r="H29" s="21">
        <f>H12-MAX(0,'P&amp;L'!H18)*Допущения!$B$17+H14+H17</f>
        <v/>
      </c>
    </row>
    <row r="30">
      <c r="A30" t="inlineStr">
        <is>
          <t>FCFF накопленный</t>
        </is>
      </c>
      <c r="B30" s="7" t="inlineStr">
        <is>
          <t>тыс. ₽</t>
        </is>
      </c>
      <c r="C30" s="23">
        <f>C29</f>
        <v/>
      </c>
      <c r="D30" s="23">
        <f>C30+D29</f>
        <v/>
      </c>
      <c r="E30" s="23">
        <f>D30+E29</f>
        <v/>
      </c>
      <c r="F30" s="23">
        <f>E30+F29</f>
        <v/>
      </c>
      <c r="G30" s="23">
        <f>F30+G29</f>
        <v/>
      </c>
      <c r="H30" s="23">
        <f>G30+H29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Баланс (управленческий)</t>
        </is>
      </c>
    </row>
    <row r="2">
      <c r="A2" s="2" t="inlineStr">
        <is>
          <t>тыс. ₽; строка «Проверка» должна быть 0</t>
        </is>
      </c>
    </row>
    <row r="4">
      <c r="A4" s="19" t="inlineStr">
        <is>
          <t>Показатель</t>
        </is>
      </c>
      <c r="B4" s="19" t="inlineStr">
        <is>
          <t>ед.</t>
        </is>
      </c>
      <c r="C4" s="19" t="inlineStr">
        <is>
          <t>Старт</t>
        </is>
      </c>
      <c r="D4" s="19" t="inlineStr">
        <is>
          <t>2026</t>
        </is>
      </c>
      <c r="E4" s="19" t="inlineStr">
        <is>
          <t>2027</t>
        </is>
      </c>
      <c r="F4" s="19" t="inlineStr">
        <is>
          <t>2028</t>
        </is>
      </c>
      <c r="G4" s="19" t="inlineStr">
        <is>
          <t>2029</t>
        </is>
      </c>
      <c r="H4" s="19" t="inlineStr">
        <is>
          <t>2030</t>
        </is>
      </c>
    </row>
    <row r="5">
      <c r="A5" s="5" t="inlineStr">
        <is>
          <t>Активы</t>
        </is>
      </c>
    </row>
    <row r="6">
      <c r="A6" t="inlineStr">
        <is>
          <t>Денежные средства</t>
        </is>
      </c>
      <c r="B6" s="7" t="inlineStr">
        <is>
          <t>тыс. ₽</t>
        </is>
      </c>
      <c r="C6" s="23">
        <f>ДДС!C26</f>
        <v/>
      </c>
      <c r="D6" s="23">
        <f>ДДС!D26</f>
        <v/>
      </c>
      <c r="E6" s="23">
        <f>ДДС!E26</f>
        <v/>
      </c>
      <c r="F6" s="23">
        <f>ДДС!F26</f>
        <v/>
      </c>
      <c r="G6" s="23">
        <f>ДДС!G26</f>
        <v/>
      </c>
      <c r="H6" s="23">
        <f>ДДС!H26</f>
        <v/>
      </c>
    </row>
    <row r="7">
      <c r="A7" t="inlineStr">
        <is>
          <t>Дебиторская задолженность</t>
        </is>
      </c>
      <c r="B7" s="7" t="inlineStr">
        <is>
          <t>тыс. ₽</t>
        </is>
      </c>
      <c r="C7" s="23">
        <f>ДДС!C6</f>
        <v/>
      </c>
      <c r="D7" s="23">
        <f>ДДС!D6</f>
        <v/>
      </c>
      <c r="E7" s="23">
        <f>ДДС!E6</f>
        <v/>
      </c>
      <c r="F7" s="23">
        <f>ДДС!F6</f>
        <v/>
      </c>
      <c r="G7" s="23">
        <f>ДДС!G6</f>
        <v/>
      </c>
      <c r="H7" s="23">
        <f>ДДС!H6</f>
        <v/>
      </c>
    </row>
    <row r="8">
      <c r="A8" t="inlineStr">
        <is>
          <t>Запасы</t>
        </is>
      </c>
      <c r="B8" s="7" t="inlineStr">
        <is>
          <t>тыс. ₽</t>
        </is>
      </c>
      <c r="C8" s="23">
        <f>ДДС!C7</f>
        <v/>
      </c>
      <c r="D8" s="23">
        <f>ДДС!D7</f>
        <v/>
      </c>
      <c r="E8" s="23">
        <f>ДДС!E7</f>
        <v/>
      </c>
      <c r="F8" s="23">
        <f>ДДС!F7</f>
        <v/>
      </c>
      <c r="G8" s="23">
        <f>ДДС!G7</f>
        <v/>
      </c>
      <c r="H8" s="23">
        <f>ДДС!H7</f>
        <v/>
      </c>
    </row>
    <row r="9">
      <c r="A9" t="inlineStr">
        <is>
          <t>Основные средства</t>
        </is>
      </c>
      <c r="B9" s="7" t="inlineStr">
        <is>
          <t>тыс. ₽</t>
        </is>
      </c>
      <c r="C9" s="23">
        <f>Инвестиции!C10</f>
        <v/>
      </c>
      <c r="D9" s="23">
        <f>Инвестиции!D10</f>
        <v/>
      </c>
      <c r="E9" s="23">
        <f>Инвестиции!E10</f>
        <v/>
      </c>
      <c r="F9" s="23">
        <f>Инвестиции!F10</f>
        <v/>
      </c>
      <c r="G9" s="23">
        <f>Инвестиции!G10</f>
        <v/>
      </c>
      <c r="H9" s="23">
        <f>Инвестиции!H10</f>
        <v/>
      </c>
    </row>
    <row r="10">
      <c r="A10" s="14" t="inlineStr">
        <is>
          <t>ИТОГО АКТИВЫ</t>
        </is>
      </c>
      <c r="B10" s="7" t="inlineStr">
        <is>
          <t>тыс. ₽</t>
        </is>
      </c>
      <c r="C10" s="22">
        <f>C6+C7+C8+C9</f>
        <v/>
      </c>
      <c r="D10" s="22">
        <f>D6+D7+D8+D9</f>
        <v/>
      </c>
      <c r="E10" s="22">
        <f>E6+E7+E8+E9</f>
        <v/>
      </c>
      <c r="F10" s="22">
        <f>F6+F7+F8+F9</f>
        <v/>
      </c>
      <c r="G10" s="22">
        <f>G6+G7+G8+G9</f>
        <v/>
      </c>
      <c r="H10" s="22">
        <f>H6+H7+H8+H9</f>
        <v/>
      </c>
    </row>
    <row r="11">
      <c r="A11" s="5" t="inlineStr">
        <is>
          <t>Пассивы</t>
        </is>
      </c>
    </row>
    <row r="12">
      <c r="A12" t="inlineStr">
        <is>
          <t>Кредиторская задолженность</t>
        </is>
      </c>
      <c r="B12" s="7" t="inlineStr">
        <is>
          <t>тыс. ₽</t>
        </is>
      </c>
      <c r="C12" s="23">
        <f>ДДС!C8</f>
        <v/>
      </c>
      <c r="D12" s="23">
        <f>ДДС!D8</f>
        <v/>
      </c>
      <c r="E12" s="23">
        <f>ДДС!E8</f>
        <v/>
      </c>
      <c r="F12" s="23">
        <f>ДДС!F8</f>
        <v/>
      </c>
      <c r="G12" s="23">
        <f>ДДС!G8</f>
        <v/>
      </c>
      <c r="H12" s="23">
        <f>ДДС!H8</f>
        <v/>
      </c>
    </row>
    <row r="13">
      <c r="A13" t="inlineStr">
        <is>
          <t>Кредиты и займы</t>
        </is>
      </c>
      <c r="B13" s="7" t="inlineStr">
        <is>
          <t>тыс. ₽</t>
        </is>
      </c>
      <c r="C13" s="23">
        <f>Кредит!C9</f>
        <v/>
      </c>
      <c r="D13" s="23">
        <f>Кредит!D9</f>
        <v/>
      </c>
      <c r="E13" s="23">
        <f>Кредит!E9</f>
        <v/>
      </c>
      <c r="F13" s="23">
        <f>Кредит!F9</f>
        <v/>
      </c>
      <c r="G13" s="23">
        <f>Кредит!G9</f>
        <v/>
      </c>
      <c r="H13" s="23">
        <f>Кредит!H9</f>
        <v/>
      </c>
    </row>
    <row r="14">
      <c r="A14" t="inlineStr">
        <is>
          <t>Уставный капитал / взносы</t>
        </is>
      </c>
      <c r="B14" s="7" t="inlineStr">
        <is>
          <t>тыс. ₽</t>
        </is>
      </c>
      <c r="C14" s="23">
        <f>Допущения!$B$51</f>
        <v/>
      </c>
      <c r="D14" s="23">
        <f>Допущения!$B$51</f>
        <v/>
      </c>
      <c r="E14" s="23">
        <f>Допущения!$B$51</f>
        <v/>
      </c>
      <c r="F14" s="23">
        <f>Допущения!$B$51</f>
        <v/>
      </c>
      <c r="G14" s="23">
        <f>Допущения!$B$51</f>
        <v/>
      </c>
      <c r="H14" s="23">
        <f>Допущения!$B$51</f>
        <v/>
      </c>
    </row>
    <row r="15">
      <c r="A15" t="inlineStr">
        <is>
          <t>Нераспределённая прибыль</t>
        </is>
      </c>
      <c r="B15" s="7" t="inlineStr">
        <is>
          <t>тыс. ₽</t>
        </is>
      </c>
      <c r="C15" s="23" t="n">
        <v>0</v>
      </c>
      <c r="D15" s="23">
        <f>C15+'P&amp;L'!D22</f>
        <v/>
      </c>
      <c r="E15" s="23">
        <f>D15+'P&amp;L'!E22</f>
        <v/>
      </c>
      <c r="F15" s="23">
        <f>E15+'P&amp;L'!F22</f>
        <v/>
      </c>
      <c r="G15" s="23">
        <f>F15+'P&amp;L'!G22</f>
        <v/>
      </c>
      <c r="H15" s="23">
        <f>G15+'P&amp;L'!H22</f>
        <v/>
      </c>
    </row>
    <row r="16">
      <c r="A16" s="14" t="inlineStr">
        <is>
          <t>ИТОГО ПАССИВЫ</t>
        </is>
      </c>
      <c r="B16" s="7" t="inlineStr">
        <is>
          <t>тыс. ₽</t>
        </is>
      </c>
      <c r="C16" s="22">
        <f>C12+C13+C14+C15</f>
        <v/>
      </c>
      <c r="D16" s="22">
        <f>D12+D13+D14+D15</f>
        <v/>
      </c>
      <c r="E16" s="22">
        <f>E12+E13+E14+E15</f>
        <v/>
      </c>
      <c r="F16" s="22">
        <f>F12+F13+F14+F15</f>
        <v/>
      </c>
      <c r="G16" s="22">
        <f>G12+G13+G14+G15</f>
        <v/>
      </c>
      <c r="H16" s="22">
        <f>H12+H13+H14+H15</f>
        <v/>
      </c>
    </row>
    <row r="17">
      <c r="A17" s="14" t="inlineStr">
        <is>
          <t>Проверка (активы − пассивы)</t>
        </is>
      </c>
      <c r="B17" s="7" t="inlineStr">
        <is>
          <t>тыс. ₽</t>
        </is>
      </c>
      <c r="C17" s="21">
        <f>ROUND(C10-C16,2)</f>
        <v/>
      </c>
      <c r="D17" s="21">
        <f>ROUND(D10-D16,2)</f>
        <v/>
      </c>
      <c r="E17" s="21">
        <f>ROUND(E10-E16,2)</f>
        <v/>
      </c>
      <c r="F17" s="21">
        <f>ROUND(F10-F16,2)</f>
        <v/>
      </c>
      <c r="G17" s="21">
        <f>ROUND(G10-G16,2)</f>
        <v/>
      </c>
      <c r="H17" s="21">
        <f>ROUND(H10-H16,2)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Анализ чувствительности</t>
        </is>
      </c>
    </row>
    <row r="2">
      <c r="A2" s="2" t="inlineStr">
        <is>
          <t>Таблицы рассчитаны при построении модели (значения). Живая проверка — множители сценария на листе «Допущения».</t>
        </is>
      </c>
    </row>
    <row r="4">
      <c r="A4" s="5" t="inlineStr">
        <is>
          <t>Торнадо: NPV при изменении фактора</t>
        </is>
      </c>
    </row>
    <row r="5">
      <c r="A5" s="4" t="inlineStr">
        <is>
          <t>Фактор</t>
        </is>
      </c>
      <c r="B5" s="4" t="inlineStr">
        <is>
          <t>-20 %</t>
        </is>
      </c>
      <c r="C5" s="4" t="inlineStr">
        <is>
          <t>-10 %</t>
        </is>
      </c>
      <c r="D5" s="4" t="inlineStr">
        <is>
          <t>+10 %</t>
        </is>
      </c>
      <c r="E5" s="4" t="inlineStr">
        <is>
          <t>+20 %</t>
        </is>
      </c>
      <c r="F5" s="4" t="inlineStr">
        <is>
          <t>Размах NPV</t>
        </is>
      </c>
      <c r="G5" s="4" t="inlineStr">
        <is>
          <t>Фактор меняется до NPV=0</t>
        </is>
      </c>
    </row>
    <row r="6">
      <c r="A6" t="inlineStr">
        <is>
          <t>Цена реализации</t>
        </is>
      </c>
      <c r="B6" s="23" t="n">
        <v>6067.7</v>
      </c>
      <c r="C6" s="23" t="n">
        <v>11085.5</v>
      </c>
      <c r="D6" s="23" t="n">
        <v>21121.1</v>
      </c>
      <c r="E6" s="23" t="n">
        <v>26138.9</v>
      </c>
      <c r="F6" s="23" t="n">
        <v>20071.2</v>
      </c>
      <c r="G6" t="inlineStr">
        <is>
          <t>-32 %</t>
        </is>
      </c>
    </row>
    <row r="7">
      <c r="A7" t="inlineStr">
        <is>
          <t>Объём продаж</t>
        </is>
      </c>
      <c r="B7" s="23" t="n">
        <v>6067.7</v>
      </c>
      <c r="C7" s="23" t="n">
        <v>11085.5</v>
      </c>
      <c r="D7" s="23" t="n">
        <v>21121.1</v>
      </c>
      <c r="E7" s="23" t="n">
        <v>26138.9</v>
      </c>
      <c r="F7" s="23" t="n">
        <v>20071.2</v>
      </c>
      <c r="G7" t="inlineStr">
        <is>
          <t>-32 %</t>
        </is>
      </c>
    </row>
    <row r="8">
      <c r="A8" t="inlineStr">
        <is>
          <t>Переменные расходы</t>
        </is>
      </c>
      <c r="B8" s="23" t="n">
        <v>22528.1</v>
      </c>
      <c r="C8" s="23" t="n">
        <v>19315.7</v>
      </c>
      <c r="D8" s="23" t="n">
        <v>12890.9</v>
      </c>
      <c r="E8" s="23" t="n">
        <v>9678.6</v>
      </c>
      <c r="F8" s="23" t="n">
        <v>12849.5</v>
      </c>
      <c r="G8" t="inlineStr">
        <is>
          <t>+50 %</t>
        </is>
      </c>
    </row>
    <row r="9">
      <c r="A9" t="inlineStr">
        <is>
          <t>Постоянные расходы и ФОТ</t>
        </is>
      </c>
      <c r="B9" s="23" t="n">
        <v>21302.3</v>
      </c>
      <c r="C9" s="23" t="n">
        <v>18702.8</v>
      </c>
      <c r="D9" s="23" t="n">
        <v>13503.8</v>
      </c>
      <c r="E9" s="23" t="n">
        <v>10904.3</v>
      </c>
      <c r="F9" s="23" t="n">
        <v>10398.1</v>
      </c>
      <c r="G9" t="inlineStr">
        <is>
          <t>+61 %</t>
        </is>
      </c>
    </row>
    <row r="10">
      <c r="A10" t="inlineStr">
        <is>
          <t>Инвестиции (CAPEX)</t>
        </is>
      </c>
      <c r="B10" s="23" t="n">
        <v>17719.2</v>
      </c>
      <c r="C10" s="23" t="n">
        <v>16911.3</v>
      </c>
      <c r="D10" s="23" t="n">
        <v>15295.3</v>
      </c>
      <c r="E10" s="23" t="n">
        <v>14487.4</v>
      </c>
      <c r="F10" s="23" t="n">
        <v>3231.8</v>
      </c>
      <c r="G10" t="inlineStr">
        <is>
          <t>не достигается</t>
        </is>
      </c>
    </row>
    <row r="11">
      <c r="A11" t="inlineStr">
        <is>
          <t>Ставка по кредиту</t>
        </is>
      </c>
      <c r="B11" s="23" t="n">
        <v>16103.3</v>
      </c>
      <c r="C11" s="23" t="n">
        <v>16103.3</v>
      </c>
      <c r="D11" s="23" t="n">
        <v>16103.3</v>
      </c>
      <c r="E11" s="23" t="n">
        <v>16103.3</v>
      </c>
      <c r="F11" s="23" t="n">
        <v>0</v>
      </c>
      <c r="G11" t="inlineStr">
        <is>
          <t>не достигается</t>
        </is>
      </c>
    </row>
    <row r="12">
      <c r="A12" s="14" t="inlineStr">
        <is>
          <t>Базовый NPV: 16 103 тыс. ₽</t>
        </is>
      </c>
    </row>
    <row r="14">
      <c r="A14" s="5" t="inlineStr">
        <is>
          <t>NPV: цена (строки) × объём (столбцы)</t>
        </is>
      </c>
    </row>
    <row r="15">
      <c r="A15" s="4" t="inlineStr">
        <is>
          <t>строки \ столбцы</t>
        </is>
      </c>
      <c r="B15" s="4" t="inlineStr">
        <is>
          <t>-20 %</t>
        </is>
      </c>
      <c r="C15" s="4" t="inlineStr">
        <is>
          <t>-10 %</t>
        </is>
      </c>
      <c r="D15" s="4" t="inlineStr">
        <is>
          <t>+0 %</t>
        </is>
      </c>
      <c r="E15" s="4" t="inlineStr">
        <is>
          <t>+10 %</t>
        </is>
      </c>
      <c r="F15" s="4" t="inlineStr">
        <is>
          <t>+20 %</t>
        </is>
      </c>
    </row>
    <row r="16">
      <c r="A16" s="14" t="inlineStr">
        <is>
          <t>-20 %</t>
        </is>
      </c>
      <c r="B16" s="28" t="n">
        <v>-2206.4</v>
      </c>
      <c r="C16" s="23" t="n">
        <v>2053.5</v>
      </c>
      <c r="D16" s="23" t="n">
        <v>6067.7</v>
      </c>
      <c r="E16" s="23" t="n">
        <v>10081.9</v>
      </c>
      <c r="F16" s="23" t="n">
        <v>14096.2</v>
      </c>
    </row>
    <row r="17">
      <c r="A17" s="14" t="inlineStr">
        <is>
          <t>-10 %</t>
        </is>
      </c>
      <c r="B17" s="23" t="n">
        <v>2053.5</v>
      </c>
      <c r="C17" s="23" t="n">
        <v>6569.5</v>
      </c>
      <c r="D17" s="23" t="n">
        <v>11085.5</v>
      </c>
      <c r="E17" s="23" t="n">
        <v>15601.5</v>
      </c>
      <c r="F17" s="23" t="n">
        <v>20117.5</v>
      </c>
    </row>
    <row r="18">
      <c r="A18" s="14" t="inlineStr">
        <is>
          <t>+0 %</t>
        </is>
      </c>
      <c r="B18" s="23" t="n">
        <v>6067.7</v>
      </c>
      <c r="C18" s="23" t="n">
        <v>11085.5</v>
      </c>
      <c r="D18" s="23" t="n">
        <v>16103.3</v>
      </c>
      <c r="E18" s="23" t="n">
        <v>21121.1</v>
      </c>
      <c r="F18" s="23" t="n">
        <v>26138.9</v>
      </c>
    </row>
    <row r="19">
      <c r="A19" s="14" t="inlineStr">
        <is>
          <t>+10 %</t>
        </is>
      </c>
      <c r="B19" s="23" t="n">
        <v>10081.9</v>
      </c>
      <c r="C19" s="23" t="n">
        <v>15601.5</v>
      </c>
      <c r="D19" s="23" t="n">
        <v>21121.1</v>
      </c>
      <c r="E19" s="23" t="n">
        <v>26640.7</v>
      </c>
      <c r="F19" s="23" t="n">
        <v>32160.3</v>
      </c>
    </row>
    <row r="20">
      <c r="A20" s="14" t="inlineStr">
        <is>
          <t>+20 %</t>
        </is>
      </c>
      <c r="B20" s="23" t="n">
        <v>14096.2</v>
      </c>
      <c r="C20" s="23" t="n">
        <v>20117.5</v>
      </c>
      <c r="D20" s="23" t="n">
        <v>26138.9</v>
      </c>
      <c r="E20" s="23" t="n">
        <v>32160.3</v>
      </c>
      <c r="F20" s="23" t="n">
        <v>38181.6</v>
      </c>
    </row>
    <row r="22">
      <c r="A22" s="5" t="inlineStr">
        <is>
          <t>IRR годовых: цена (строки) × объём (столбцы)</t>
        </is>
      </c>
    </row>
    <row r="23">
      <c r="A23" s="4" t="inlineStr">
        <is>
          <t>строки \ столбцы</t>
        </is>
      </c>
      <c r="B23" s="4" t="inlineStr">
        <is>
          <t>-20 %</t>
        </is>
      </c>
      <c r="C23" s="4" t="inlineStr">
        <is>
          <t>-10 %</t>
        </is>
      </c>
      <c r="D23" s="4" t="inlineStr">
        <is>
          <t>+0 %</t>
        </is>
      </c>
      <c r="E23" s="4" t="inlineStr">
        <is>
          <t>+10 %</t>
        </is>
      </c>
      <c r="F23" s="4" t="inlineStr">
        <is>
          <t>+20 %</t>
        </is>
      </c>
    </row>
    <row r="24">
      <c r="A24" s="14" t="inlineStr">
        <is>
          <t>-20 %</t>
        </is>
      </c>
      <c r="B24" s="29" t="n">
        <v>0.1332</v>
      </c>
      <c r="C24" s="24" t="n">
        <v>0.2971</v>
      </c>
      <c r="D24" s="24" t="n">
        <v>0.4384</v>
      </c>
      <c r="E24" s="24" t="n">
        <v>0.5712</v>
      </c>
      <c r="F24" s="24" t="n">
        <v>0.6985</v>
      </c>
    </row>
    <row r="25">
      <c r="A25" s="14" t="inlineStr">
        <is>
          <t>-10 %</t>
        </is>
      </c>
      <c r="B25" s="24" t="n">
        <v>0.2971</v>
      </c>
      <c r="C25" s="24" t="n">
        <v>0.4554</v>
      </c>
      <c r="D25" s="24" t="n">
        <v>0.6034</v>
      </c>
      <c r="E25" s="24" t="n">
        <v>0.7451</v>
      </c>
      <c r="F25" s="24" t="n">
        <v>0.8826000000000001</v>
      </c>
    </row>
    <row r="26">
      <c r="A26" s="14" t="inlineStr">
        <is>
          <t>+0 %</t>
        </is>
      </c>
      <c r="B26" s="24" t="n">
        <v>0.4384</v>
      </c>
      <c r="C26" s="24" t="n">
        <v>0.6034</v>
      </c>
      <c r="D26" s="24" t="n">
        <v>0.7606000000000001</v>
      </c>
      <c r="E26" s="24" t="n">
        <v>0.9127999999999999</v>
      </c>
      <c r="F26" s="24" t="n">
        <v>1.0617</v>
      </c>
    </row>
    <row r="27">
      <c r="A27" s="14" t="inlineStr">
        <is>
          <t>+10 %</t>
        </is>
      </c>
      <c r="B27" s="24" t="n">
        <v>0.5712</v>
      </c>
      <c r="C27" s="24" t="n">
        <v>0.7451</v>
      </c>
      <c r="D27" s="24" t="n">
        <v>0.9127999999999999</v>
      </c>
      <c r="E27" s="24" t="n">
        <v>1.0764</v>
      </c>
      <c r="F27" s="24" t="n">
        <v>1.2375</v>
      </c>
    </row>
    <row r="28">
      <c r="A28" s="14" t="inlineStr">
        <is>
          <t>+20 %</t>
        </is>
      </c>
      <c r="B28" s="24" t="n">
        <v>0.6985</v>
      </c>
      <c r="C28" s="24" t="n">
        <v>0.8826000000000001</v>
      </c>
      <c r="D28" s="24" t="n">
        <v>1.0617</v>
      </c>
      <c r="E28" s="24" t="n">
        <v>1.2375</v>
      </c>
      <c r="F28" s="24" t="n">
        <v>1.4112</v>
      </c>
    </row>
    <row r="30">
      <c r="A30" s="5" t="inlineStr">
        <is>
          <t>NPV: переменные расходы (строки) × постоянные расходы (столбцы)</t>
        </is>
      </c>
    </row>
    <row r="31">
      <c r="A31" s="4" t="inlineStr">
        <is>
          <t>строки \ столбцы</t>
        </is>
      </c>
      <c r="B31" s="4" t="inlineStr">
        <is>
          <t>-20 %</t>
        </is>
      </c>
      <c r="C31" s="4" t="inlineStr">
        <is>
          <t>-10 %</t>
        </is>
      </c>
      <c r="D31" s="4" t="inlineStr">
        <is>
          <t>+0 %</t>
        </is>
      </c>
      <c r="E31" s="4" t="inlineStr">
        <is>
          <t>+10 %</t>
        </is>
      </c>
      <c r="F31" s="4" t="inlineStr">
        <is>
          <t>+20 %</t>
        </is>
      </c>
    </row>
    <row r="32">
      <c r="A32" s="14" t="inlineStr">
        <is>
          <t>-20 %</t>
        </is>
      </c>
      <c r="B32" s="23" t="n">
        <v>27727.1</v>
      </c>
      <c r="C32" s="23" t="n">
        <v>25127.6</v>
      </c>
      <c r="D32" s="23" t="n">
        <v>22528.1</v>
      </c>
      <c r="E32" s="23" t="n">
        <v>19928.5</v>
      </c>
      <c r="F32" s="23" t="n">
        <v>17329</v>
      </c>
    </row>
    <row r="33">
      <c r="A33" s="14" t="inlineStr">
        <is>
          <t>-10 %</t>
        </is>
      </c>
      <c r="B33" s="23" t="n">
        <v>24514.7</v>
      </c>
      <c r="C33" s="23" t="n">
        <v>21915.2</v>
      </c>
      <c r="D33" s="23" t="n">
        <v>19315.7</v>
      </c>
      <c r="E33" s="23" t="n">
        <v>16716.2</v>
      </c>
      <c r="F33" s="23" t="n">
        <v>14116.6</v>
      </c>
    </row>
    <row r="34">
      <c r="A34" s="14" t="inlineStr">
        <is>
          <t>+0 %</t>
        </is>
      </c>
      <c r="B34" s="23" t="n">
        <v>21302.3</v>
      </c>
      <c r="C34" s="23" t="n">
        <v>18702.8</v>
      </c>
      <c r="D34" s="23" t="n">
        <v>16103.3</v>
      </c>
      <c r="E34" s="23" t="n">
        <v>13503.8</v>
      </c>
      <c r="F34" s="23" t="n">
        <v>10904.3</v>
      </c>
    </row>
    <row r="35">
      <c r="A35" s="14" t="inlineStr">
        <is>
          <t>+10 %</t>
        </is>
      </c>
      <c r="B35" s="23" t="n">
        <v>18090</v>
      </c>
      <c r="C35" s="23" t="n">
        <v>15490.4</v>
      </c>
      <c r="D35" s="23" t="n">
        <v>12890.9</v>
      </c>
      <c r="E35" s="23" t="n">
        <v>10291.4</v>
      </c>
      <c r="F35" s="23" t="n">
        <v>7691.9</v>
      </c>
    </row>
    <row r="36">
      <c r="A36" s="14" t="inlineStr">
        <is>
          <t>+20 %</t>
        </is>
      </c>
      <c r="B36" s="23" t="n">
        <v>14877.6</v>
      </c>
      <c r="C36" s="23" t="n">
        <v>12278.1</v>
      </c>
      <c r="D36" s="23" t="n">
        <v>9678.6</v>
      </c>
      <c r="E36" s="23" t="n">
        <v>7079</v>
      </c>
      <c r="F36" s="23" t="n">
        <v>4479.5</v>
      </c>
    </row>
    <row r="38">
      <c r="A38" s="5" t="inlineStr">
        <is>
          <t>Минимальный DSCR: ставка кредита (строки) × CAPEX (столбцы)</t>
        </is>
      </c>
    </row>
    <row r="39">
      <c r="A39" s="4" t="inlineStr">
        <is>
          <t>строки \ столбцы</t>
        </is>
      </c>
      <c r="B39" s="4" t="inlineStr">
        <is>
          <t>-20 %</t>
        </is>
      </c>
      <c r="C39" s="4" t="inlineStr">
        <is>
          <t>-10 %</t>
        </is>
      </c>
      <c r="D39" s="4" t="inlineStr">
        <is>
          <t>+0 %</t>
        </is>
      </c>
      <c r="E39" s="4" t="inlineStr">
        <is>
          <t>+10 %</t>
        </is>
      </c>
      <c r="F39" s="4" t="inlineStr">
        <is>
          <t>+20 %</t>
        </is>
      </c>
    </row>
    <row r="40">
      <c r="A40" s="14" t="inlineStr">
        <is>
          <t>-20 %</t>
        </is>
      </c>
      <c r="B40" s="26" t="n">
        <v>2.7891</v>
      </c>
      <c r="C40" s="26" t="n">
        <v>2.8018</v>
      </c>
      <c r="D40" s="26" t="n">
        <v>2.8144</v>
      </c>
      <c r="E40" s="26" t="n">
        <v>2.8271</v>
      </c>
      <c r="F40" s="26" t="n">
        <v>2.8397</v>
      </c>
    </row>
    <row r="41">
      <c r="A41" s="14" t="inlineStr">
        <is>
          <t>-10 %</t>
        </is>
      </c>
      <c r="B41" s="26" t="n">
        <v>2.6912</v>
      </c>
      <c r="C41" s="26" t="n">
        <v>2.7033</v>
      </c>
      <c r="D41" s="26" t="n">
        <v>2.7154</v>
      </c>
      <c r="E41" s="26" t="n">
        <v>2.7276</v>
      </c>
      <c r="F41" s="26" t="n">
        <v>2.7397</v>
      </c>
    </row>
    <row r="42">
      <c r="A42" s="14" t="inlineStr">
        <is>
          <t>+0 %</t>
        </is>
      </c>
      <c r="B42" s="26" t="n">
        <v>2.5994</v>
      </c>
      <c r="C42" s="26" t="n">
        <v>2.6111</v>
      </c>
      <c r="D42" s="26" t="n">
        <v>2.6228</v>
      </c>
      <c r="E42" s="26" t="n">
        <v>2.6344</v>
      </c>
      <c r="F42" s="26" t="n">
        <v>2.6461</v>
      </c>
    </row>
    <row r="43">
      <c r="A43" s="14" t="inlineStr">
        <is>
          <t>+10 %</t>
        </is>
      </c>
      <c r="B43" s="26" t="n">
        <v>2.5134</v>
      </c>
      <c r="C43" s="26" t="n">
        <v>2.5246</v>
      </c>
      <c r="D43" s="26" t="n">
        <v>2.5358</v>
      </c>
      <c r="E43" s="26" t="n">
        <v>2.5471</v>
      </c>
      <c r="F43" s="26" t="n">
        <v>2.5583</v>
      </c>
    </row>
    <row r="44">
      <c r="A44" s="14" t="inlineStr">
        <is>
          <t>+20 %</t>
        </is>
      </c>
      <c r="B44" s="26" t="n">
        <v>2.4326</v>
      </c>
      <c r="C44" s="26" t="n">
        <v>2.4434</v>
      </c>
      <c r="D44" s="26" t="n">
        <v>2.4542</v>
      </c>
      <c r="E44" s="26" t="n">
        <v>2.465</v>
      </c>
      <c r="F44" s="26" t="n">
        <v>2.4758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D2FD"/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Konsilito · finmodel.konsilito.ru</dc:creator>
  <dc:title xmlns:dc="http://purl.org/dc/elements/1.1/">Демо — finmodel.konsilito.ru</dc:title>
  <dcterms:created xmlns:dcterms="http://purl.org/dc/terms/" xmlns:xsi="http://www.w3.org/2001/XMLSchema-instance" xsi:type="dcterms:W3CDTF">2026-10-10T12:00:22Z</dcterms:created>
  <dcterms:modified xmlns:dcterms="http://purl.org/dc/terms/" xmlns:xsi="http://www.w3.org/2001/XMLSchema-instance" xsi:type="dcterms:W3CDTF">2026-10-10T13:07:54Z</dcterms:modified>
</cp:coreProperties>
</file>