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араметры" sheetId="1" state="visible" r:id="rId1"/>
    <sheet xmlns:r="http://schemas.openxmlformats.org/officeDocument/2006/relationships" name="Матрица" sheetId="2" state="visible" r:id="rId2"/>
    <sheet xmlns:r="http://schemas.openxmlformats.org/officeDocument/2006/relationships" name="Анализ" sheetId="3" state="visible" r:id="rId3"/>
    <sheet xmlns:r="http://schemas.openxmlformats.org/officeDocument/2006/relationships" name="Рекомендации" sheetId="4" state="visible" r:id="rId4"/>
    <sheet xmlns:r="http://schemas.openxmlformats.org/officeDocument/2006/relationships" name="Графики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;[Red]-#,##0"/>
  </numFmts>
  <fonts count="8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color rgb="009C6500"/>
    </font>
    <font>
      <color rgb="00666666"/>
      <sz val="9"/>
    </font>
    <font>
      <b val="1"/>
      <color rgb="001F3A5F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A5F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FFC7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3" borderId="0" applyAlignment="1" pivotButton="0" quotePrefix="0" xfId="0">
      <alignment horizontal="center" wrapText="1"/>
    </xf>
    <xf numFmtId="0" fontId="7" fillId="0" borderId="0" pivotButton="0" quotePrefix="0" xfId="0"/>
    <xf numFmtId="165" fontId="0" fillId="4" borderId="0" pivotButton="0" quotePrefix="0" xfId="0"/>
    <xf numFmtId="165" fontId="0" fillId="0" borderId="0" pivotButton="0" quotePrefix="0" xfId="0"/>
    <xf numFmtId="165" fontId="0" fillId="5" borderId="0" pivotButton="0" quotePrefix="0" xfId="0"/>
    <xf numFmtId="165" fontId="0" fillId="6" borderId="0" pivotButton="0" quotePrefix="0" xfId="0"/>
    <xf numFmtId="164" fontId="0" fillId="4" borderId="0" pivotButton="0" quotePrefix="0" xfId="0"/>
    <xf numFmtId="164" fontId="0" fillId="0" borderId="0" pivotButton="0" quotePrefix="0" xfId="0"/>
    <xf numFmtId="164" fontId="0" fillId="5" borderId="0" pivotButton="0" quotePrefix="0" xfId="0"/>
    <xf numFmtId="164" fontId="0" fillId="6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7" fillId="4" borderId="0" pivotButton="0" quotePrefix="0" xfId="0"/>
    <xf numFmtId="0" fontId="0" fillId="0" borderId="0" applyAlignment="1" pivotButton="0" quotePrefix="0" xfId="0">
      <alignment vertical="top" wrapText="1"/>
    </xf>
    <xf numFmtId="0" fontId="7" fillId="5" borderId="0" pivotButton="0" quotePrefix="0" xfId="0"/>
    <xf numFmtId="0" fontId="7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Парето: выручка по позициям (топ-30)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'Анализ'!D1</f>
            </strRef>
          </tx>
          <spPr>
            <a:ln xmlns:a="http://schemas.openxmlformats.org/drawingml/2006/main">
              <a:prstDash val="solid"/>
            </a:ln>
          </spPr>
          <cat>
            <numRef>
              <f>'Анализ'!$B$2:$B$31</f>
            </numRef>
          </cat>
          <val>
            <numRef>
              <f>'Анализ'!$D$2:$D$31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Накопленная доля выручки</a:t>
            </a:r>
          </a:p>
        </rich>
      </tx>
    </title>
    <plotArea>
      <lineChart>
        <grouping val="standard"/>
        <ser>
          <idx val="0"/>
          <order val="0"/>
          <tx>
            <strRef>
              <f>'Анализ'!F1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'Анализ'!$A$2:$A$31</f>
            </numRef>
          </cat>
          <val>
            <numRef>
              <f>'Анализ'!$F$2:$F$31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936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25</row>
      <rowOff>0</rowOff>
    </from>
    <ext cx="936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60" customWidth="1" min="3" max="3"/>
  </cols>
  <sheetData>
    <row r="1">
      <c r="A1" s="1" t="inlineStr">
        <is>
          <t>ABC/XYZ-анализ продаж пекарни-кофейни (демо)</t>
        </is>
      </c>
    </row>
    <row r="2">
      <c r="A2" s="2" t="inlineStr">
        <is>
          <t>Позиций: 30; строк в выгрузке: 360; периодов: 12 (2025-01 … 2025-12)</t>
        </is>
      </c>
    </row>
    <row r="3">
      <c r="A3" s="3" t="inlineStr">
        <is>
          <t>Жёлтые ячейки — границы классов. Меняйте: классы и матрица пересчитаются.</t>
        </is>
      </c>
    </row>
    <row r="5">
      <c r="A5" t="inlineStr">
        <is>
          <t>Граница A (накопленная доля выручки)</t>
        </is>
      </c>
      <c r="B5" s="4" t="n">
        <v>0.8</v>
      </c>
      <c r="C5" s="5" t="inlineStr">
        <is>
          <t>обычно 80 %</t>
        </is>
      </c>
    </row>
    <row r="6">
      <c r="A6" t="inlineStr">
        <is>
          <t>Граница B (накопленная доля выручки)</t>
        </is>
      </c>
      <c r="B6" s="4" t="n">
        <v>0.95</v>
      </c>
      <c r="C6" s="5" t="inlineStr">
        <is>
          <t>обычно 95 %</t>
        </is>
      </c>
    </row>
    <row r="7">
      <c r="A7" t="inlineStr">
        <is>
          <t>Граница X (коэффициент вариации)</t>
        </is>
      </c>
      <c r="B7" s="4" t="n">
        <v>0.1</v>
      </c>
      <c r="C7" s="5" t="inlineStr">
        <is>
          <t>обычно 10 %</t>
        </is>
      </c>
    </row>
    <row r="8">
      <c r="A8" t="inlineStr">
        <is>
          <t>Граница Y (коэффициент вариации)</t>
        </is>
      </c>
      <c r="B8" s="4" t="n">
        <v>0.25</v>
      </c>
      <c r="C8" s="5" t="inlineStr">
        <is>
          <t>обычно 25 %</t>
        </is>
      </c>
    </row>
    <row r="10">
      <c r="A10" s="6" t="inlineStr">
        <is>
          <t>Распознанные колонки</t>
        </is>
      </c>
    </row>
    <row r="11">
      <c r="A11" t="inlineStr">
        <is>
          <t>товар/SKU</t>
        </is>
      </c>
      <c r="B11" t="inlineStr">
        <is>
          <t>Номенклатура</t>
        </is>
      </c>
    </row>
    <row r="12">
      <c r="A12" t="inlineStr">
        <is>
          <t>группа</t>
        </is>
      </c>
      <c r="B12" t="inlineStr">
        <is>
          <t>Группа</t>
        </is>
      </c>
    </row>
    <row r="13">
      <c r="A13" t="inlineStr">
        <is>
          <t>период</t>
        </is>
      </c>
      <c r="B13" t="inlineStr">
        <is>
          <t>Месяц</t>
        </is>
      </c>
    </row>
    <row r="14">
      <c r="A14" t="inlineStr">
        <is>
          <t>количество</t>
        </is>
      </c>
      <c r="B14" t="inlineStr">
        <is>
          <t>Количество, шт</t>
        </is>
      </c>
    </row>
    <row r="15">
      <c r="A15" t="inlineStr">
        <is>
          <t>себестоимость</t>
        </is>
      </c>
      <c r="B15" t="inlineStr">
        <is>
          <t>Себестоимость, руб</t>
        </is>
      </c>
    </row>
    <row r="16">
      <c r="A16" t="inlineStr">
        <is>
          <t>выручка</t>
        </is>
      </c>
      <c r="B16" t="inlineStr">
        <is>
          <t>Сумма продаж, руб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D2FD"/>
  <pageMargins left="0.75" right="0.75" top="1" bottom="1" header="0.5" footer="0.5"/>
  <headerFooter>
    <oddHeader>&amp;CДемо — finmodel.konsilito.ru</oddHeader>
    <oddFooter>&amp;CМодель под ваш бизнес за 3–5 минут: finmodel.konsilito.ru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Матрица ABC/XYZ</t>
        </is>
      </c>
    </row>
    <row r="3">
      <c r="A3" s="6" t="inlineStr">
        <is>
          <t>Количество позиций</t>
        </is>
      </c>
    </row>
    <row r="4">
      <c r="A4" s="7" t="inlineStr">
        <is>
          <t>ABC \ XYZ</t>
        </is>
      </c>
      <c r="B4" s="7" t="inlineStr">
        <is>
          <t>X</t>
        </is>
      </c>
      <c r="C4" s="7" t="inlineStr">
        <is>
          <t>Y</t>
        </is>
      </c>
      <c r="D4" s="7" t="inlineStr">
        <is>
          <t>Z</t>
        </is>
      </c>
      <c r="E4" s="7" t="inlineStr">
        <is>
          <t>Итого</t>
        </is>
      </c>
    </row>
    <row r="5">
      <c r="A5" s="8" t="inlineStr">
        <is>
          <t>A</t>
        </is>
      </c>
      <c r="B5" s="9">
        <f>COUNTIF(Анализ!$N$2:$N$31,"AX")</f>
        <v/>
      </c>
      <c r="C5" s="9">
        <f>COUNTIF(Анализ!$N$2:$N$31,"AY")</f>
        <v/>
      </c>
      <c r="D5" s="9">
        <f>COUNTIF(Анализ!$N$2:$N$31,"AZ")</f>
        <v/>
      </c>
      <c r="E5" s="10">
        <f>SUM(B5:D5)</f>
        <v/>
      </c>
    </row>
    <row r="6">
      <c r="A6" s="8" t="inlineStr">
        <is>
          <t>B</t>
        </is>
      </c>
      <c r="B6" s="11">
        <f>COUNTIF(Анализ!$N$2:$N$31,"BX")</f>
        <v/>
      </c>
      <c r="C6" s="11">
        <f>COUNTIF(Анализ!$N$2:$N$31,"BY")</f>
        <v/>
      </c>
      <c r="D6" s="11">
        <f>COUNTIF(Анализ!$N$2:$N$31,"BZ")</f>
        <v/>
      </c>
      <c r="E6" s="10">
        <f>SUM(B6:D6)</f>
        <v/>
      </c>
    </row>
    <row r="7">
      <c r="A7" s="8" t="inlineStr">
        <is>
          <t>C</t>
        </is>
      </c>
      <c r="B7" s="12">
        <f>COUNTIF(Анализ!$N$2:$N$31,"CX")</f>
        <v/>
      </c>
      <c r="C7" s="12">
        <f>COUNTIF(Анализ!$N$2:$N$31,"CY")</f>
        <v/>
      </c>
      <c r="D7" s="12">
        <f>COUNTIF(Анализ!$N$2:$N$31,"CZ")</f>
        <v/>
      </c>
      <c r="E7" s="10">
        <f>SUM(B7:D7)</f>
        <v/>
      </c>
    </row>
    <row r="8">
      <c r="A8" s="8" t="inlineStr">
        <is>
          <t>Итого</t>
        </is>
      </c>
      <c r="B8" s="10">
        <f>SUM(B5:B7)</f>
        <v/>
      </c>
      <c r="C8" s="10">
        <f>SUM(C5:C7)</f>
        <v/>
      </c>
      <c r="D8" s="10">
        <f>SUM(D5:D7)</f>
        <v/>
      </c>
      <c r="E8" s="10">
        <f>SUM(E5:E7)</f>
        <v/>
      </c>
    </row>
    <row r="10">
      <c r="A10" s="6" t="inlineStr">
        <is>
          <t>Выручка</t>
        </is>
      </c>
    </row>
    <row r="11">
      <c r="A11" s="7" t="inlineStr">
        <is>
          <t>ABC \ XYZ</t>
        </is>
      </c>
      <c r="B11" s="7" t="inlineStr">
        <is>
          <t>X</t>
        </is>
      </c>
      <c r="C11" s="7" t="inlineStr">
        <is>
          <t>Y</t>
        </is>
      </c>
      <c r="D11" s="7" t="inlineStr">
        <is>
          <t>Z</t>
        </is>
      </c>
      <c r="E11" s="7" t="inlineStr">
        <is>
          <t>Итого</t>
        </is>
      </c>
    </row>
    <row r="12">
      <c r="A12" s="8" t="inlineStr">
        <is>
          <t>A</t>
        </is>
      </c>
      <c r="B12" s="9">
        <f>SUMIF(Анализ!$N$2:$N$31,"AX",Анализ!$D$2:$D$31)</f>
        <v/>
      </c>
      <c r="C12" s="9">
        <f>SUMIF(Анализ!$N$2:$N$31,"AY",Анализ!$D$2:$D$31)</f>
        <v/>
      </c>
      <c r="D12" s="9">
        <f>SUMIF(Анализ!$N$2:$N$31,"AZ",Анализ!$D$2:$D$31)</f>
        <v/>
      </c>
      <c r="E12" s="10">
        <f>SUM(B12:D12)</f>
        <v/>
      </c>
    </row>
    <row r="13">
      <c r="A13" s="8" t="inlineStr">
        <is>
          <t>B</t>
        </is>
      </c>
      <c r="B13" s="11">
        <f>SUMIF(Анализ!$N$2:$N$31,"BX",Анализ!$D$2:$D$31)</f>
        <v/>
      </c>
      <c r="C13" s="11">
        <f>SUMIF(Анализ!$N$2:$N$31,"BY",Анализ!$D$2:$D$31)</f>
        <v/>
      </c>
      <c r="D13" s="11">
        <f>SUMIF(Анализ!$N$2:$N$31,"BZ",Анализ!$D$2:$D$31)</f>
        <v/>
      </c>
      <c r="E13" s="10">
        <f>SUM(B13:D13)</f>
        <v/>
      </c>
    </row>
    <row r="14">
      <c r="A14" s="8" t="inlineStr">
        <is>
          <t>C</t>
        </is>
      </c>
      <c r="B14" s="12">
        <f>SUMIF(Анализ!$N$2:$N$31,"CX",Анализ!$D$2:$D$31)</f>
        <v/>
      </c>
      <c r="C14" s="12">
        <f>SUMIF(Анализ!$N$2:$N$31,"CY",Анализ!$D$2:$D$31)</f>
        <v/>
      </c>
      <c r="D14" s="12">
        <f>SUMIF(Анализ!$N$2:$N$31,"CZ",Анализ!$D$2:$D$31)</f>
        <v/>
      </c>
      <c r="E14" s="10">
        <f>SUM(B14:D14)</f>
        <v/>
      </c>
    </row>
    <row r="15">
      <c r="A15" s="8" t="inlineStr">
        <is>
          <t>Итого</t>
        </is>
      </c>
      <c r="B15" s="10">
        <f>SUM(B12:B14)</f>
        <v/>
      </c>
      <c r="C15" s="10">
        <f>SUM(C12:C14)</f>
        <v/>
      </c>
      <c r="D15" s="10">
        <f>SUM(D12:D14)</f>
        <v/>
      </c>
      <c r="E15" s="10">
        <f>SUM(E12:E14)</f>
        <v/>
      </c>
    </row>
    <row r="17">
      <c r="A17" s="6" t="inlineStr">
        <is>
          <t>Доля выручки</t>
        </is>
      </c>
    </row>
    <row r="18">
      <c r="A18" s="7" t="inlineStr">
        <is>
          <t>ABC \ XYZ</t>
        </is>
      </c>
      <c r="B18" s="7" t="inlineStr">
        <is>
          <t>X</t>
        </is>
      </c>
      <c r="C18" s="7" t="inlineStr">
        <is>
          <t>Y</t>
        </is>
      </c>
      <c r="D18" s="7" t="inlineStr">
        <is>
          <t>Z</t>
        </is>
      </c>
      <c r="E18" s="7" t="inlineStr">
        <is>
          <t>Итого</t>
        </is>
      </c>
    </row>
    <row r="19">
      <c r="A19" s="8" t="inlineStr">
        <is>
          <t>A</t>
        </is>
      </c>
      <c r="B19" s="13">
        <f>SUMIF(Анализ!$N$2:$N$31,"AX",Анализ!$D$2:$D$31)/Анализ!$D$32</f>
        <v/>
      </c>
      <c r="C19" s="13">
        <f>SUMIF(Анализ!$N$2:$N$31,"AY",Анализ!$D$2:$D$31)/Анализ!$D$32</f>
        <v/>
      </c>
      <c r="D19" s="13">
        <f>SUMIF(Анализ!$N$2:$N$31,"AZ",Анализ!$D$2:$D$31)/Анализ!$D$32</f>
        <v/>
      </c>
      <c r="E19" s="14">
        <f>SUM(B19:D19)</f>
        <v/>
      </c>
    </row>
    <row r="20">
      <c r="A20" s="8" t="inlineStr">
        <is>
          <t>B</t>
        </is>
      </c>
      <c r="B20" s="15">
        <f>SUMIF(Анализ!$N$2:$N$31,"BX",Анализ!$D$2:$D$31)/Анализ!$D$32</f>
        <v/>
      </c>
      <c r="C20" s="15">
        <f>SUMIF(Анализ!$N$2:$N$31,"BY",Анализ!$D$2:$D$31)/Анализ!$D$32</f>
        <v/>
      </c>
      <c r="D20" s="15">
        <f>SUMIF(Анализ!$N$2:$N$31,"BZ",Анализ!$D$2:$D$31)/Анализ!$D$32</f>
        <v/>
      </c>
      <c r="E20" s="14">
        <f>SUM(B20:D20)</f>
        <v/>
      </c>
    </row>
    <row r="21">
      <c r="A21" s="8" t="inlineStr">
        <is>
          <t>C</t>
        </is>
      </c>
      <c r="B21" s="16">
        <f>SUMIF(Анализ!$N$2:$N$31,"CX",Анализ!$D$2:$D$31)/Анализ!$D$32</f>
        <v/>
      </c>
      <c r="C21" s="16">
        <f>SUMIF(Анализ!$N$2:$N$31,"CY",Анализ!$D$2:$D$31)/Анализ!$D$32</f>
        <v/>
      </c>
      <c r="D21" s="16">
        <f>SUMIF(Анализ!$N$2:$N$31,"CZ",Анализ!$D$2:$D$31)/Анализ!$D$32</f>
        <v/>
      </c>
      <c r="E21" s="14">
        <f>SUM(B21:D21)</f>
        <v/>
      </c>
    </row>
    <row r="22">
      <c r="A22" s="8" t="inlineStr">
        <is>
          <t>Итого</t>
        </is>
      </c>
      <c r="B22" s="14">
        <f>SUM(B19:B21)</f>
        <v/>
      </c>
      <c r="C22" s="14">
        <f>SUM(C19:C21)</f>
        <v/>
      </c>
      <c r="D22" s="14">
        <f>SUM(D19:D21)</f>
        <v/>
      </c>
      <c r="E22" s="14">
        <f>SUM(E19:E21)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D2FD"/>
  <pageMargins left="0.75" right="0.75" top="1" bottom="1" header="0.5" footer="0.5"/>
  <headerFooter>
    <oddHeader>&amp;CДемо — finmodel.konsilito.ru</oddHeader>
    <oddFooter>&amp;CМодель под ваш бизнес за 3–5 минут: finmodel.konsilito.ru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A32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6" customWidth="1" min="2" max="2"/>
    <col width="18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</cols>
  <sheetData>
    <row r="1">
      <c r="A1" s="7" t="inlineStr">
        <is>
          <t>№</t>
        </is>
      </c>
      <c r="B1" s="7" t="inlineStr">
        <is>
          <t>Товар / SKU</t>
        </is>
      </c>
      <c r="C1" s="7" t="inlineStr">
        <is>
          <t>Группа</t>
        </is>
      </c>
      <c r="D1" s="7" t="inlineStr">
        <is>
          <t>Выручка</t>
        </is>
      </c>
      <c r="E1" s="7" t="inlineStr">
        <is>
          <t>Доля</t>
        </is>
      </c>
      <c r="F1" s="7" t="inlineStr">
        <is>
          <t>Доля накопл.</t>
        </is>
      </c>
      <c r="G1" s="7" t="inlineStr">
        <is>
          <t>ABC</t>
        </is>
      </c>
      <c r="H1" s="7" t="inlineStr">
        <is>
          <t>Маржа</t>
        </is>
      </c>
      <c r="I1" s="7" t="inlineStr">
        <is>
          <t>ABC по марже</t>
        </is>
      </c>
      <c r="J1" s="7" t="inlineStr">
        <is>
          <t>Среднее за период (шт)</t>
        </is>
      </c>
      <c r="K1" s="7" t="inlineStr">
        <is>
          <t>Ст. отклонение</t>
        </is>
      </c>
      <c r="L1" s="7" t="inlineStr">
        <is>
          <t>Коэф. вариации</t>
        </is>
      </c>
      <c r="M1" s="7" t="inlineStr">
        <is>
          <t>XYZ</t>
        </is>
      </c>
      <c r="N1" s="7" t="inlineStr">
        <is>
          <t>Группа ABC/XYZ</t>
        </is>
      </c>
      <c r="O1" s="7" t="inlineStr"/>
      <c r="P1" s="7" t="inlineStr">
        <is>
          <t>2025-01</t>
        </is>
      </c>
      <c r="Q1" s="7" t="inlineStr">
        <is>
          <t>2025-02</t>
        </is>
      </c>
      <c r="R1" s="7" t="inlineStr">
        <is>
          <t>2025-03</t>
        </is>
      </c>
      <c r="S1" s="7" t="inlineStr">
        <is>
          <t>2025-04</t>
        </is>
      </c>
      <c r="T1" s="7" t="inlineStr">
        <is>
          <t>2025-05</t>
        </is>
      </c>
      <c r="U1" s="7" t="inlineStr">
        <is>
          <t>2025-06</t>
        </is>
      </c>
      <c r="V1" s="7" t="inlineStr">
        <is>
          <t>2025-07</t>
        </is>
      </c>
      <c r="W1" s="7" t="inlineStr">
        <is>
          <t>2025-08</t>
        </is>
      </c>
      <c r="X1" s="7" t="inlineStr">
        <is>
          <t>2025-09</t>
        </is>
      </c>
      <c r="Y1" s="7" t="inlineStr">
        <is>
          <t>2025-10</t>
        </is>
      </c>
      <c r="Z1" s="7" t="inlineStr">
        <is>
          <t>2025-11</t>
        </is>
      </c>
      <c r="AA1" s="7" t="inlineStr">
        <is>
          <t>2025-12</t>
        </is>
      </c>
    </row>
    <row r="2">
      <c r="A2" t="n">
        <v>1</v>
      </c>
      <c r="B2" t="inlineStr">
        <is>
          <t>Торт на заказ</t>
        </is>
      </c>
      <c r="C2" t="inlineStr">
        <is>
          <t>Десерты</t>
        </is>
      </c>
      <c r="D2" s="10" t="n">
        <v>15490000</v>
      </c>
      <c r="E2" s="14">
        <f>D2/$D$32</f>
        <v/>
      </c>
      <c r="F2" s="14">
        <f>E2</f>
        <v/>
      </c>
      <c r="G2" s="17">
        <f>IF(F2&lt;=Параметры!$B$5+0.0000001,"A",IF(F2&lt;=Параметры!$B$6+0.0000001,"B","C"))</f>
        <v/>
      </c>
      <c r="H2" s="10" t="n">
        <v>8194726.1</v>
      </c>
      <c r="I2" t="inlineStr">
        <is>
          <t>A</t>
        </is>
      </c>
      <c r="J2" s="10">
        <f>AVERAGE(P2:AA2)</f>
        <v/>
      </c>
      <c r="K2" s="10">
        <f>STDEV.P(P2:AA2)</f>
        <v/>
      </c>
      <c r="L2" s="14">
        <f>IF(J2&lt;=0,"",K2/J2)</f>
        <v/>
      </c>
      <c r="M2" s="18">
        <f>IF(L2="","Z",IF(L2&lt;=Параметры!$B$7,"X",IF(L2&lt;=Параметры!$B$8,"Y","Z")))</f>
        <v/>
      </c>
      <c r="N2">
        <f>G2&amp;M2</f>
        <v/>
      </c>
      <c r="P2" s="10" t="n">
        <v>471</v>
      </c>
      <c r="Q2" s="10" t="n">
        <v>506</v>
      </c>
      <c r="R2" s="10" t="n">
        <v>490</v>
      </c>
      <c r="S2" s="10" t="n">
        <v>442</v>
      </c>
      <c r="T2" s="10" t="n">
        <v>452</v>
      </c>
      <c r="U2" s="10" t="n">
        <v>420</v>
      </c>
      <c r="V2" s="10" t="n">
        <v>480</v>
      </c>
      <c r="W2" s="10" t="n">
        <v>510</v>
      </c>
      <c r="X2" s="10" t="n">
        <v>507</v>
      </c>
      <c r="Y2" s="10" t="n">
        <v>441</v>
      </c>
      <c r="Z2" s="10" t="n">
        <v>797</v>
      </c>
      <c r="AA2" s="10" t="n">
        <v>680</v>
      </c>
    </row>
    <row r="3">
      <c r="A3" t="n">
        <v>2</v>
      </c>
      <c r="B3" t="inlineStr">
        <is>
          <t>Кекс лимонный</t>
        </is>
      </c>
      <c r="C3" t="inlineStr">
        <is>
          <t>Десерты</t>
        </is>
      </c>
      <c r="D3" s="10" t="n">
        <v>5039400</v>
      </c>
      <c r="E3" s="14">
        <f>D3/$D$32</f>
        <v/>
      </c>
      <c r="F3" s="14">
        <f>F2+E3</f>
        <v/>
      </c>
      <c r="G3" s="17">
        <f>IF(F3&lt;=Параметры!$B$5+0.0000001,"A",IF(F3&lt;=Параметры!$B$6+0.0000001,"B","C"))</f>
        <v/>
      </c>
      <c r="H3" s="10" t="n">
        <v>2078175.94</v>
      </c>
      <c r="I3" t="inlineStr">
        <is>
          <t>A</t>
        </is>
      </c>
      <c r="J3" s="10">
        <f>AVERAGE(P3:AA3)</f>
        <v/>
      </c>
      <c r="K3" s="10">
        <f>STDEV.P(P3:AA3)</f>
        <v/>
      </c>
      <c r="L3" s="14">
        <f>IF(J3&lt;=0,"",K3/J3)</f>
        <v/>
      </c>
      <c r="M3" s="17">
        <f>IF(L3="","Z",IF(L3&lt;=Параметры!$B$7,"X",IF(L3&lt;=Параметры!$B$8,"Y","Z")))</f>
        <v/>
      </c>
      <c r="N3">
        <f>G3&amp;M3</f>
        <v/>
      </c>
      <c r="P3" s="10" t="n">
        <v>2803</v>
      </c>
      <c r="Q3" s="10" t="n">
        <v>2660</v>
      </c>
      <c r="R3" s="10" t="n">
        <v>2781</v>
      </c>
      <c r="S3" s="10" t="n">
        <v>2840</v>
      </c>
      <c r="T3" s="10" t="n">
        <v>2824</v>
      </c>
      <c r="U3" s="10" t="n">
        <v>2939</v>
      </c>
      <c r="V3" s="10" t="n">
        <v>2927</v>
      </c>
      <c r="W3" s="10" t="n">
        <v>2513</v>
      </c>
      <c r="X3" s="10" t="n">
        <v>2733</v>
      </c>
      <c r="Y3" s="10" t="n">
        <v>3016</v>
      </c>
      <c r="Z3" s="10" t="n">
        <v>2686</v>
      </c>
      <c r="AA3" s="10" t="n">
        <v>2874</v>
      </c>
    </row>
    <row r="4">
      <c r="A4" t="n">
        <v>3</v>
      </c>
      <c r="B4" t="inlineStr">
        <is>
          <t>Боул с киноа</t>
        </is>
      </c>
      <c r="C4" t="inlineStr">
        <is>
          <t>Кухня</t>
        </is>
      </c>
      <c r="D4" s="10" t="n">
        <v>4135170</v>
      </c>
      <c r="E4" s="14">
        <f>D4/$D$32</f>
        <v/>
      </c>
      <c r="F4" s="14">
        <f>F3+E4</f>
        <v/>
      </c>
      <c r="G4" s="17">
        <f>IF(F4&lt;=Параметры!$B$5+0.0000001,"A",IF(F4&lt;=Параметры!$B$6+0.0000001,"B","C"))</f>
        <v/>
      </c>
      <c r="H4" s="10" t="n">
        <v>2322923.58</v>
      </c>
      <c r="I4" t="inlineStr">
        <is>
          <t>A</t>
        </is>
      </c>
      <c r="J4" s="10">
        <f>AVERAGE(P4:AA4)</f>
        <v/>
      </c>
      <c r="K4" s="10">
        <f>STDEV.P(P4:AA4)</f>
        <v/>
      </c>
      <c r="L4" s="14">
        <f>IF(J4&lt;=0,"",K4/J4)</f>
        <v/>
      </c>
      <c r="M4" s="18">
        <f>IF(L4="","Z",IF(L4&lt;=Параметры!$B$7,"X",IF(L4&lt;=Параметры!$B$8,"Y","Z")))</f>
        <v/>
      </c>
      <c r="N4">
        <f>G4&amp;M4</f>
        <v/>
      </c>
      <c r="P4" s="10" t="n">
        <v>892</v>
      </c>
      <c r="Q4" s="10" t="n">
        <v>1105</v>
      </c>
      <c r="R4" s="10" t="n">
        <v>862</v>
      </c>
      <c r="S4" s="10" t="n">
        <v>821</v>
      </c>
      <c r="T4" s="10" t="n">
        <v>719</v>
      </c>
      <c r="U4" s="10" t="n">
        <v>970</v>
      </c>
      <c r="V4" s="10" t="n">
        <v>1188</v>
      </c>
      <c r="W4" s="10" t="n">
        <v>600</v>
      </c>
      <c r="X4" s="10" t="n">
        <v>619</v>
      </c>
      <c r="Y4" s="10" t="n">
        <v>1154</v>
      </c>
      <c r="Z4" s="10" t="n">
        <v>921</v>
      </c>
      <c r="AA4" s="10" t="n">
        <v>752</v>
      </c>
    </row>
    <row r="5">
      <c r="A5" t="n">
        <v>4</v>
      </c>
      <c r="B5" t="inlineStr">
        <is>
          <t>Чизкейк</t>
        </is>
      </c>
      <c r="C5" t="inlineStr">
        <is>
          <t>Десерты</t>
        </is>
      </c>
      <c r="D5" s="10" t="n">
        <v>3896360</v>
      </c>
      <c r="E5" s="14">
        <f>D5/$D$32</f>
        <v/>
      </c>
      <c r="F5" s="14">
        <f>F4+E5</f>
        <v/>
      </c>
      <c r="G5" s="17">
        <f>IF(F5&lt;=Параметры!$B$5+0.0000001,"A",IF(F5&lt;=Параметры!$B$6+0.0000001,"B","C"))</f>
        <v/>
      </c>
      <c r="H5" s="10" t="n">
        <v>2414935.85</v>
      </c>
      <c r="I5" t="inlineStr">
        <is>
          <t>A</t>
        </is>
      </c>
      <c r="J5" s="10">
        <f>AVERAGE(P5:AA5)</f>
        <v/>
      </c>
      <c r="K5" s="10">
        <f>STDEV.P(P5:AA5)</f>
        <v/>
      </c>
      <c r="L5" s="14">
        <f>IF(J5&lt;=0,"",K5/J5)</f>
        <v/>
      </c>
      <c r="M5" s="17">
        <f>IF(L5="","Z",IF(L5&lt;=Параметры!$B$7,"X",IF(L5&lt;=Параметры!$B$8,"Y","Z")))</f>
        <v/>
      </c>
      <c r="N5">
        <f>G5&amp;M5</f>
        <v/>
      </c>
      <c r="P5" s="10" t="n">
        <v>1299</v>
      </c>
      <c r="Q5" s="10" t="n">
        <v>1374</v>
      </c>
      <c r="R5" s="10" t="n">
        <v>1237</v>
      </c>
      <c r="S5" s="10" t="n">
        <v>1322</v>
      </c>
      <c r="T5" s="10" t="n">
        <v>1183</v>
      </c>
      <c r="U5" s="10" t="n">
        <v>1058</v>
      </c>
      <c r="V5" s="10" t="n">
        <v>1223</v>
      </c>
      <c r="W5" s="10" t="n">
        <v>1395</v>
      </c>
      <c r="X5" s="10" t="n">
        <v>1114</v>
      </c>
      <c r="Y5" s="10" t="n">
        <v>1352</v>
      </c>
      <c r="Z5" s="10" t="n">
        <v>1202</v>
      </c>
      <c r="AA5" s="10" t="n">
        <v>1227</v>
      </c>
    </row>
    <row r="6">
      <c r="A6" t="n">
        <v>5</v>
      </c>
      <c r="B6" t="inlineStr">
        <is>
          <t>Салат греческий</t>
        </is>
      </c>
      <c r="C6" t="inlineStr">
        <is>
          <t>Кухня</t>
        </is>
      </c>
      <c r="D6" s="10" t="n">
        <v>3396750</v>
      </c>
      <c r="E6" s="14">
        <f>D6/$D$32</f>
        <v/>
      </c>
      <c r="F6" s="14">
        <f>F5+E6</f>
        <v/>
      </c>
      <c r="G6" s="17">
        <f>IF(F6&lt;=Параметры!$B$5+0.0000001,"A",IF(F6&lt;=Параметры!$B$6+0.0000001,"B","C"))</f>
        <v/>
      </c>
      <c r="H6" s="10" t="n">
        <v>2107754.24</v>
      </c>
      <c r="I6" t="inlineStr">
        <is>
          <t>A</t>
        </is>
      </c>
      <c r="J6" s="10">
        <f>AVERAGE(P6:AA6)</f>
        <v/>
      </c>
      <c r="K6" s="10">
        <f>STDEV.P(P6:AA6)</f>
        <v/>
      </c>
      <c r="L6" s="14">
        <f>IF(J6&lt;=0,"",K6/J6)</f>
        <v/>
      </c>
      <c r="M6" s="18">
        <f>IF(L6="","Z",IF(L6&lt;=Параметры!$B$7,"X",IF(L6&lt;=Параметры!$B$8,"Y","Z")))</f>
        <v/>
      </c>
      <c r="N6">
        <f>G6&amp;M6</f>
        <v/>
      </c>
      <c r="P6" s="10" t="n">
        <v>988</v>
      </c>
      <c r="Q6" s="10" t="n">
        <v>843</v>
      </c>
      <c r="R6" s="10" t="n">
        <v>860</v>
      </c>
      <c r="S6" s="10" t="n">
        <v>861</v>
      </c>
      <c r="T6" s="10" t="n">
        <v>815</v>
      </c>
      <c r="U6" s="10" t="n">
        <v>628</v>
      </c>
      <c r="V6" s="10" t="n">
        <v>818</v>
      </c>
      <c r="W6" s="10" t="n">
        <v>838</v>
      </c>
      <c r="X6" s="10" t="n">
        <v>673</v>
      </c>
      <c r="Y6" s="10" t="n">
        <v>898</v>
      </c>
      <c r="Z6" s="10" t="n">
        <v>677</v>
      </c>
      <c r="AA6" s="10" t="n">
        <v>806</v>
      </c>
    </row>
    <row r="7">
      <c r="A7" t="n">
        <v>6</v>
      </c>
      <c r="B7" t="inlineStr">
        <is>
          <t>Сэндвич с лососем</t>
        </is>
      </c>
      <c r="C7" t="inlineStr">
        <is>
          <t>Кухня</t>
        </is>
      </c>
      <c r="D7" s="10" t="n">
        <v>2698500</v>
      </c>
      <c r="E7" s="14">
        <f>D7/$D$32</f>
        <v/>
      </c>
      <c r="F7" s="14">
        <f>F6+E7</f>
        <v/>
      </c>
      <c r="G7" s="17">
        <f>IF(F7&lt;=Параметры!$B$5+0.0000001,"A",IF(F7&lt;=Параметры!$B$6+0.0000001,"B","C"))</f>
        <v/>
      </c>
      <c r="H7" s="10" t="n">
        <v>1260336.31</v>
      </c>
      <c r="I7" t="inlineStr">
        <is>
          <t>A</t>
        </is>
      </c>
      <c r="J7" s="10">
        <f>AVERAGE(P7:AA7)</f>
        <v/>
      </c>
      <c r="K7" s="10">
        <f>STDEV.P(P7:AA7)</f>
        <v/>
      </c>
      <c r="L7" s="14">
        <f>IF(J7&lt;=0,"",K7/J7)</f>
        <v/>
      </c>
      <c r="M7" s="18">
        <f>IF(L7="","Z",IF(L7&lt;=Параметры!$B$7,"X",IF(L7&lt;=Параметры!$B$8,"Y","Z")))</f>
        <v/>
      </c>
      <c r="N7">
        <f>G7&amp;M7</f>
        <v/>
      </c>
      <c r="P7" s="10" t="n">
        <v>534</v>
      </c>
      <c r="Q7" s="10" t="n">
        <v>509</v>
      </c>
      <c r="R7" s="10" t="n">
        <v>536</v>
      </c>
      <c r="S7" s="10" t="n">
        <v>537</v>
      </c>
      <c r="T7" s="10" t="n">
        <v>697</v>
      </c>
      <c r="U7" s="10" t="n">
        <v>595</v>
      </c>
      <c r="V7" s="10" t="n">
        <v>529</v>
      </c>
      <c r="W7" s="10" t="n">
        <v>483</v>
      </c>
      <c r="X7" s="10" t="n">
        <v>442</v>
      </c>
      <c r="Y7" s="10" t="n">
        <v>508</v>
      </c>
      <c r="Z7" s="10" t="n">
        <v>481</v>
      </c>
      <c r="AA7" s="10" t="n">
        <v>574</v>
      </c>
    </row>
    <row r="8">
      <c r="A8" t="n">
        <v>7</v>
      </c>
      <c r="B8" t="inlineStr">
        <is>
          <t>Эспрессо</t>
        </is>
      </c>
      <c r="C8" t="inlineStr">
        <is>
          <t>Напитки</t>
        </is>
      </c>
      <c r="D8" s="10" t="n">
        <v>2654400</v>
      </c>
      <c r="E8" s="14">
        <f>D8/$D$32</f>
        <v/>
      </c>
      <c r="F8" s="14">
        <f>F7+E8</f>
        <v/>
      </c>
      <c r="G8" s="17">
        <f>IF(F8&lt;=Параметры!$B$5+0.0000001,"A",IF(F8&lt;=Параметры!$B$6+0.0000001,"B","C"))</f>
        <v/>
      </c>
      <c r="H8" s="10" t="n">
        <v>1231370.64</v>
      </c>
      <c r="I8" t="inlineStr">
        <is>
          <t>A</t>
        </is>
      </c>
      <c r="J8" s="10">
        <f>AVERAGE(P8:AA8)</f>
        <v/>
      </c>
      <c r="K8" s="10">
        <f>STDEV.P(P8:AA8)</f>
        <v/>
      </c>
      <c r="L8" s="14">
        <f>IF(J8&lt;=0,"",K8/J8)</f>
        <v/>
      </c>
      <c r="M8" s="17">
        <f>IF(L8="","Z",IF(L8&lt;=Параметры!$B$7,"X",IF(L8&lt;=Параметры!$B$8,"Y","Z")))</f>
        <v/>
      </c>
      <c r="N8">
        <f>G8&amp;M8</f>
        <v/>
      </c>
      <c r="P8" s="10" t="n">
        <v>1705</v>
      </c>
      <c r="Q8" s="10" t="n">
        <v>1509</v>
      </c>
      <c r="R8" s="10" t="n">
        <v>1378</v>
      </c>
      <c r="S8" s="10" t="n">
        <v>1633</v>
      </c>
      <c r="T8" s="10" t="n">
        <v>1274</v>
      </c>
      <c r="U8" s="10" t="n">
        <v>1363</v>
      </c>
      <c r="V8" s="10" t="n">
        <v>1352</v>
      </c>
      <c r="W8" s="10" t="n">
        <v>1616</v>
      </c>
      <c r="X8" s="10" t="n">
        <v>1576</v>
      </c>
      <c r="Y8" s="10" t="n">
        <v>1527</v>
      </c>
      <c r="Z8" s="10" t="n">
        <v>1365</v>
      </c>
      <c r="AA8" s="10" t="n">
        <v>1398</v>
      </c>
    </row>
    <row r="9">
      <c r="A9" t="n">
        <v>8</v>
      </c>
      <c r="B9" t="inlineStr">
        <is>
          <t>Раф</t>
        </is>
      </c>
      <c r="C9" t="inlineStr">
        <is>
          <t>Напитки</t>
        </is>
      </c>
      <c r="D9" s="10" t="n">
        <v>2091600</v>
      </c>
      <c r="E9" s="14">
        <f>D9/$D$32</f>
        <v/>
      </c>
      <c r="F9" s="14">
        <f>F8+E9</f>
        <v/>
      </c>
      <c r="G9" s="17">
        <f>IF(F9&lt;=Параметры!$B$5+0.0000001,"A",IF(F9&lt;=Параметры!$B$6+0.0000001,"B","C"))</f>
        <v/>
      </c>
      <c r="H9" s="10" t="n">
        <v>1246789.64</v>
      </c>
      <c r="I9" t="inlineStr">
        <is>
          <t>A</t>
        </is>
      </c>
      <c r="J9" s="10">
        <f>AVERAGE(P9:AA9)</f>
        <v/>
      </c>
      <c r="K9" s="10">
        <f>STDEV.P(P9:AA9)</f>
        <v/>
      </c>
      <c r="L9" s="14">
        <f>IF(J9&lt;=0,"",K9/J9)</f>
        <v/>
      </c>
      <c r="M9" s="18">
        <f>IF(L9="","Z",IF(L9&lt;=Параметры!$B$7,"X",IF(L9&lt;=Параметры!$B$8,"Y","Z")))</f>
        <v/>
      </c>
      <c r="N9">
        <f>G9&amp;M9</f>
        <v/>
      </c>
      <c r="P9" s="10" t="n">
        <v>488</v>
      </c>
      <c r="Q9" s="10" t="n">
        <v>657</v>
      </c>
      <c r="R9" s="10" t="n">
        <v>370</v>
      </c>
      <c r="S9" s="10" t="n">
        <v>740</v>
      </c>
      <c r="T9" s="10" t="n">
        <v>602</v>
      </c>
      <c r="U9" s="10" t="n">
        <v>605</v>
      </c>
      <c r="V9" s="10" t="n">
        <v>825</v>
      </c>
      <c r="W9" s="10" t="n">
        <v>510</v>
      </c>
      <c r="X9" s="10" t="n">
        <v>722</v>
      </c>
      <c r="Y9" s="10" t="n">
        <v>585</v>
      </c>
      <c r="Z9" s="10" t="n">
        <v>855</v>
      </c>
      <c r="AA9" s="10" t="n">
        <v>511</v>
      </c>
    </row>
    <row r="10">
      <c r="A10" t="n">
        <v>9</v>
      </c>
      <c r="B10" t="inlineStr">
        <is>
          <t>Лимонад домашний</t>
        </is>
      </c>
      <c r="C10" t="inlineStr">
        <is>
          <t>Напитки</t>
        </is>
      </c>
      <c r="D10" s="10" t="n">
        <v>1936440</v>
      </c>
      <c r="E10" s="14">
        <f>D10/$D$32</f>
        <v/>
      </c>
      <c r="F10" s="14">
        <f>F9+E10</f>
        <v/>
      </c>
      <c r="G10" s="17">
        <f>IF(F10&lt;=Параметры!$B$5+0.0000001,"A",IF(F10&lt;=Параметры!$B$6+0.0000001,"B","C"))</f>
        <v/>
      </c>
      <c r="H10" s="10" t="n">
        <v>964230.11</v>
      </c>
      <c r="I10" t="inlineStr">
        <is>
          <t>A</t>
        </is>
      </c>
      <c r="J10" s="10">
        <f>AVERAGE(P10:AA10)</f>
        <v/>
      </c>
      <c r="K10" s="10">
        <f>STDEV.P(P10:AA10)</f>
        <v/>
      </c>
      <c r="L10" s="14">
        <f>IF(J10&lt;=0,"",K10/J10)</f>
        <v/>
      </c>
      <c r="M10" s="17">
        <f>IF(L10="","Z",IF(L10&lt;=Параметры!$B$7,"X",IF(L10&lt;=Параметры!$B$8,"Y","Z")))</f>
        <v/>
      </c>
      <c r="N10">
        <f>G10&amp;M10</f>
        <v/>
      </c>
      <c r="P10" s="10" t="n">
        <v>955</v>
      </c>
      <c r="Q10" s="10" t="n">
        <v>803</v>
      </c>
      <c r="R10" s="10" t="n">
        <v>827</v>
      </c>
      <c r="S10" s="10" t="n">
        <v>860</v>
      </c>
      <c r="T10" s="10" t="n">
        <v>973</v>
      </c>
      <c r="U10" s="10" t="n">
        <v>915</v>
      </c>
      <c r="V10" s="10" t="n">
        <v>827</v>
      </c>
      <c r="W10" s="10" t="n">
        <v>893</v>
      </c>
      <c r="X10" s="10" t="n">
        <v>956</v>
      </c>
      <c r="Y10" s="10" t="n">
        <v>944</v>
      </c>
      <c r="Z10" s="10" t="n">
        <v>913</v>
      </c>
      <c r="AA10" s="10" t="n">
        <v>892</v>
      </c>
    </row>
    <row r="11">
      <c r="A11" t="n">
        <v>10</v>
      </c>
      <c r="B11" t="inlineStr">
        <is>
          <t>Гранола</t>
        </is>
      </c>
      <c r="C11" t="inlineStr">
        <is>
          <t>Кухня</t>
        </is>
      </c>
      <c r="D11" s="10" t="n">
        <v>1829310</v>
      </c>
      <c r="E11" s="14">
        <f>D11/$D$32</f>
        <v/>
      </c>
      <c r="F11" s="14">
        <f>F10+E11</f>
        <v/>
      </c>
      <c r="G11" s="17">
        <f>IF(F11&lt;=Параметры!$B$5+0.0000001,"A",IF(F11&lt;=Параметры!$B$6+0.0000001,"B","C"))</f>
        <v/>
      </c>
      <c r="H11" s="10" t="n">
        <v>1135539.16</v>
      </c>
      <c r="I11" t="inlineStr">
        <is>
          <t>A</t>
        </is>
      </c>
      <c r="J11" s="10">
        <f>AVERAGE(P11:AA11)</f>
        <v/>
      </c>
      <c r="K11" s="10">
        <f>STDEV.P(P11:AA11)</f>
        <v/>
      </c>
      <c r="L11" s="14">
        <f>IF(J11&lt;=0,"",K11/J11)</f>
        <v/>
      </c>
      <c r="M11" s="17">
        <f>IF(L11="","Z",IF(L11&lt;=Параметры!$B$7,"X",IF(L11&lt;=Параметры!$B$8,"Y","Z")))</f>
        <v/>
      </c>
      <c r="N11">
        <f>G11&amp;M11</f>
        <v/>
      </c>
      <c r="P11" s="10" t="n">
        <v>734</v>
      </c>
      <c r="Q11" s="10" t="n">
        <v>720</v>
      </c>
      <c r="R11" s="10" t="n">
        <v>669</v>
      </c>
      <c r="S11" s="10" t="n">
        <v>743</v>
      </c>
      <c r="T11" s="10" t="n">
        <v>721</v>
      </c>
      <c r="U11" s="10" t="n">
        <v>733</v>
      </c>
      <c r="V11" s="10" t="n">
        <v>708</v>
      </c>
      <c r="W11" s="10" t="n">
        <v>756</v>
      </c>
      <c r="X11" s="10" t="n">
        <v>771</v>
      </c>
      <c r="Y11" s="10" t="n">
        <v>750</v>
      </c>
      <c r="Z11" s="10" t="n">
        <v>723</v>
      </c>
      <c r="AA11" s="10" t="n">
        <v>683</v>
      </c>
    </row>
    <row r="12">
      <c r="A12" t="n">
        <v>11</v>
      </c>
      <c r="B12" t="inlineStr">
        <is>
          <t>Сэндвич с курицей</t>
        </is>
      </c>
      <c r="C12" t="inlineStr">
        <is>
          <t>Кухня</t>
        </is>
      </c>
      <c r="D12" s="10" t="n">
        <v>1734080</v>
      </c>
      <c r="E12" s="14">
        <f>D12/$D$32</f>
        <v/>
      </c>
      <c r="F12" s="14">
        <f>F11+E12</f>
        <v/>
      </c>
      <c r="G12" s="17">
        <f>IF(F12&lt;=Параметры!$B$5+0.0000001,"A",IF(F12&lt;=Параметры!$B$6+0.0000001,"B","C"))</f>
        <v/>
      </c>
      <c r="H12" s="10" t="n">
        <v>752085.62</v>
      </c>
      <c r="I12" t="inlineStr">
        <is>
          <t>A</t>
        </is>
      </c>
      <c r="J12" s="10">
        <f>AVERAGE(P12:AA12)</f>
        <v/>
      </c>
      <c r="K12" s="10">
        <f>STDEV.P(P12:AA12)</f>
        <v/>
      </c>
      <c r="L12" s="14">
        <f>IF(J12&lt;=0,"",K12/J12)</f>
        <v/>
      </c>
      <c r="M12" s="19">
        <f>IF(L12="","Z",IF(L12&lt;=Параметры!$B$7,"X",IF(L12&lt;=Параметры!$B$8,"Y","Z")))</f>
        <v/>
      </c>
      <c r="N12">
        <f>G12&amp;M12</f>
        <v/>
      </c>
      <c r="P12" s="10" t="n">
        <v>461</v>
      </c>
      <c r="Q12" s="10" t="n">
        <v>455</v>
      </c>
      <c r="R12" s="10" t="n">
        <v>318</v>
      </c>
      <c r="S12" s="10" t="n">
        <v>717</v>
      </c>
      <c r="T12" s="10" t="n">
        <v>630</v>
      </c>
      <c r="U12" s="10" t="n">
        <v>642</v>
      </c>
      <c r="V12" s="10" t="n">
        <v>154</v>
      </c>
      <c r="W12" s="10" t="n">
        <v>388</v>
      </c>
      <c r="X12" s="10" t="n">
        <v>144</v>
      </c>
      <c r="Y12" s="10" t="n">
        <v>535</v>
      </c>
      <c r="Z12" s="10" t="n">
        <v>373</v>
      </c>
      <c r="AA12" s="10" t="n">
        <v>602</v>
      </c>
    </row>
    <row r="13">
      <c r="A13" t="n">
        <v>12</v>
      </c>
      <c r="B13" t="inlineStr">
        <is>
          <t>Сок свежевыжатый</t>
        </is>
      </c>
      <c r="C13" t="inlineStr">
        <is>
          <t>Напитки</t>
        </is>
      </c>
      <c r="D13" s="10" t="n">
        <v>1537250</v>
      </c>
      <c r="E13" s="14">
        <f>D13/$D$32</f>
        <v/>
      </c>
      <c r="F13" s="14">
        <f>F12+E13</f>
        <v/>
      </c>
      <c r="G13" s="17">
        <f>IF(F13&lt;=Параметры!$B$5+0.0000001,"A",IF(F13&lt;=Параметры!$B$6+0.0000001,"B","C"))</f>
        <v/>
      </c>
      <c r="H13" s="10" t="n">
        <v>710607.9399999999</v>
      </c>
      <c r="I13" t="inlineStr">
        <is>
          <t>B</t>
        </is>
      </c>
      <c r="J13" s="10">
        <f>AVERAGE(P13:AA13)</f>
        <v/>
      </c>
      <c r="K13" s="10">
        <f>STDEV.P(P13:AA13)</f>
        <v/>
      </c>
      <c r="L13" s="14">
        <f>IF(J13&lt;=0,"",K13/J13)</f>
        <v/>
      </c>
      <c r="M13" s="19">
        <f>IF(L13="","Z",IF(L13&lt;=Параметры!$B$7,"X",IF(L13&lt;=Параметры!$B$8,"Y","Z")))</f>
        <v/>
      </c>
      <c r="N13">
        <f>G13&amp;M13</f>
        <v/>
      </c>
      <c r="P13" s="10" t="n">
        <v>295</v>
      </c>
      <c r="Q13" s="10" t="n">
        <v>168</v>
      </c>
      <c r="R13" s="10" t="n">
        <v>373</v>
      </c>
      <c r="S13" s="10" t="n">
        <v>425</v>
      </c>
      <c r="T13" s="10" t="n">
        <v>445</v>
      </c>
      <c r="U13" s="10" t="n">
        <v>452</v>
      </c>
      <c r="V13" s="10" t="n">
        <v>685</v>
      </c>
      <c r="W13" s="10" t="n">
        <v>744</v>
      </c>
      <c r="X13" s="10" t="n">
        <v>550</v>
      </c>
      <c r="Y13" s="10" t="n">
        <v>488</v>
      </c>
      <c r="Z13" s="10" t="n">
        <v>811</v>
      </c>
      <c r="AA13" s="10" t="n">
        <v>713</v>
      </c>
    </row>
    <row r="14">
      <c r="A14" t="n">
        <v>13</v>
      </c>
      <c r="B14" t="inlineStr">
        <is>
          <t>Латте</t>
        </is>
      </c>
      <c r="C14" t="inlineStr">
        <is>
          <t>Напитки</t>
        </is>
      </c>
      <c r="D14" s="10" t="n">
        <v>1440720</v>
      </c>
      <c r="E14" s="14">
        <f>D14/$D$32</f>
        <v/>
      </c>
      <c r="F14" s="14">
        <f>F13+E14</f>
        <v/>
      </c>
      <c r="G14" s="18">
        <f>IF(F14&lt;=Параметры!$B$5+0.0000001,"A",IF(F14&lt;=Параметры!$B$6+0.0000001,"B","C"))</f>
        <v/>
      </c>
      <c r="H14" s="10" t="n">
        <v>905336.1</v>
      </c>
      <c r="I14" t="inlineStr">
        <is>
          <t>A</t>
        </is>
      </c>
      <c r="J14" s="10">
        <f>AVERAGE(P14:AA14)</f>
        <v/>
      </c>
      <c r="K14" s="10">
        <f>STDEV.P(P14:AA14)</f>
        <v/>
      </c>
      <c r="L14" s="14">
        <f>IF(J14&lt;=0,"",K14/J14)</f>
        <v/>
      </c>
      <c r="M14" s="18">
        <f>IF(L14="","Z",IF(L14&lt;=Параметры!$B$7,"X",IF(L14&lt;=Параметры!$B$8,"Y","Z")))</f>
        <v/>
      </c>
      <c r="N14">
        <f>G14&amp;M14</f>
        <v/>
      </c>
      <c r="P14" s="10" t="n">
        <v>523</v>
      </c>
      <c r="Q14" s="10" t="n">
        <v>566</v>
      </c>
      <c r="R14" s="10" t="n">
        <v>482</v>
      </c>
      <c r="S14" s="10" t="n">
        <v>460</v>
      </c>
      <c r="T14" s="10" t="n">
        <v>464</v>
      </c>
      <c r="U14" s="10" t="n">
        <v>553</v>
      </c>
      <c r="V14" s="10" t="n">
        <v>533</v>
      </c>
      <c r="W14" s="10" t="n">
        <v>424</v>
      </c>
      <c r="X14" s="10" t="n">
        <v>520</v>
      </c>
      <c r="Y14" s="10" t="n">
        <v>457</v>
      </c>
      <c r="Z14" s="10" t="n">
        <v>437</v>
      </c>
      <c r="AA14" s="10" t="n">
        <v>584</v>
      </c>
    </row>
    <row r="15">
      <c r="A15" t="n">
        <v>14</v>
      </c>
      <c r="B15" t="inlineStr">
        <is>
          <t>Булочка с корицей</t>
        </is>
      </c>
      <c r="C15" t="inlineStr">
        <is>
          <t>Выпечка</t>
        </is>
      </c>
      <c r="D15" s="10" t="n">
        <v>1078480</v>
      </c>
      <c r="E15" s="14">
        <f>D15/$D$32</f>
        <v/>
      </c>
      <c r="F15" s="14">
        <f>F14+E15</f>
        <v/>
      </c>
      <c r="G15" s="18">
        <f>IF(F15&lt;=Параметры!$B$5+0.0000001,"A",IF(F15&lt;=Параметры!$B$6+0.0000001,"B","C"))</f>
        <v/>
      </c>
      <c r="H15" s="10" t="n">
        <v>591410.26</v>
      </c>
      <c r="I15" t="inlineStr">
        <is>
          <t>B</t>
        </is>
      </c>
      <c r="J15" s="10">
        <f>AVERAGE(P15:AA15)</f>
        <v/>
      </c>
      <c r="K15" s="10">
        <f>STDEV.P(P15:AA15)</f>
        <v/>
      </c>
      <c r="L15" s="14">
        <f>IF(J15&lt;=0,"",K15/J15)</f>
        <v/>
      </c>
      <c r="M15" s="17">
        <f>IF(L15="","Z",IF(L15&lt;=Параметры!$B$7,"X",IF(L15&lt;=Параметры!$B$8,"Y","Z")))</f>
        <v/>
      </c>
      <c r="N15">
        <f>G15&amp;M15</f>
        <v/>
      </c>
      <c r="P15" s="10" t="n">
        <v>749</v>
      </c>
      <c r="Q15" s="10" t="n">
        <v>662</v>
      </c>
      <c r="R15" s="10" t="n">
        <v>782</v>
      </c>
      <c r="S15" s="10" t="n">
        <v>726</v>
      </c>
      <c r="T15" s="10" t="n">
        <v>728</v>
      </c>
      <c r="U15" s="10" t="n">
        <v>676</v>
      </c>
      <c r="V15" s="10" t="n">
        <v>549</v>
      </c>
      <c r="W15" s="10" t="n">
        <v>738</v>
      </c>
      <c r="X15" s="10" t="n">
        <v>679</v>
      </c>
      <c r="Y15" s="10" t="n">
        <v>687</v>
      </c>
      <c r="Z15" s="10" t="n">
        <v>721</v>
      </c>
      <c r="AA15" s="10" t="n">
        <v>599</v>
      </c>
    </row>
    <row r="16">
      <c r="A16" t="n">
        <v>15</v>
      </c>
      <c r="B16" t="inlineStr">
        <is>
          <t>Какао</t>
        </is>
      </c>
      <c r="C16" t="inlineStr">
        <is>
          <t>Напитки</t>
        </is>
      </c>
      <c r="D16" s="10" t="n">
        <v>1077400</v>
      </c>
      <c r="E16" s="14">
        <f>D16/$D$32</f>
        <v/>
      </c>
      <c r="F16" s="14">
        <f>F15+E16</f>
        <v/>
      </c>
      <c r="G16" s="18">
        <f>IF(F16&lt;=Параметры!$B$5+0.0000001,"A",IF(F16&lt;=Параметры!$B$6+0.0000001,"B","C"))</f>
        <v/>
      </c>
      <c r="H16" s="10" t="n">
        <v>513284.7</v>
      </c>
      <c r="I16" t="inlineStr">
        <is>
          <t>B</t>
        </is>
      </c>
      <c r="J16" s="10">
        <f>AVERAGE(P16:AA16)</f>
        <v/>
      </c>
      <c r="K16" s="10">
        <f>STDEV.P(P16:AA16)</f>
        <v/>
      </c>
      <c r="L16" s="14">
        <f>IF(J16&lt;=0,"",K16/J16)</f>
        <v/>
      </c>
      <c r="M16" s="18">
        <f>IF(L16="","Z",IF(L16&lt;=Параметры!$B$7,"X",IF(L16&lt;=Параметры!$B$8,"Y","Z")))</f>
        <v/>
      </c>
      <c r="N16">
        <f>G16&amp;M16</f>
        <v/>
      </c>
      <c r="P16" s="10" t="n">
        <v>475</v>
      </c>
      <c r="Q16" s="10" t="n">
        <v>505</v>
      </c>
      <c r="R16" s="10" t="n">
        <v>384</v>
      </c>
      <c r="S16" s="10" t="n">
        <v>348</v>
      </c>
      <c r="T16" s="10" t="n">
        <v>261</v>
      </c>
      <c r="U16" s="10" t="n">
        <v>547</v>
      </c>
      <c r="V16" s="10" t="n">
        <v>378</v>
      </c>
      <c r="W16" s="10" t="n">
        <v>388</v>
      </c>
      <c r="X16" s="10" t="n">
        <v>437</v>
      </c>
      <c r="Y16" s="10" t="n">
        <v>615</v>
      </c>
      <c r="Z16" s="10" t="n">
        <v>403</v>
      </c>
      <c r="AA16" s="10" t="n">
        <v>646</v>
      </c>
    </row>
    <row r="17">
      <c r="A17" t="n">
        <v>16</v>
      </c>
      <c r="B17" t="inlineStr">
        <is>
          <t>Пирожок с яблоком</t>
        </is>
      </c>
      <c r="C17" t="inlineStr">
        <is>
          <t>Выпечка</t>
        </is>
      </c>
      <c r="D17" s="10" t="n">
        <v>1038800</v>
      </c>
      <c r="E17" s="14">
        <f>D17/$D$32</f>
        <v/>
      </c>
      <c r="F17" s="14">
        <f>F16+E17</f>
        <v/>
      </c>
      <c r="G17" s="18">
        <f>IF(F17&lt;=Параметры!$B$5+0.0000001,"A",IF(F17&lt;=Параметры!$B$6+0.0000001,"B","C"))</f>
        <v/>
      </c>
      <c r="H17" s="10" t="n">
        <v>642754.4399999999</v>
      </c>
      <c r="I17" t="inlineStr">
        <is>
          <t>B</t>
        </is>
      </c>
      <c r="J17" s="10">
        <f>AVERAGE(P17:AA17)</f>
        <v/>
      </c>
      <c r="K17" s="10">
        <f>STDEV.P(P17:AA17)</f>
        <v/>
      </c>
      <c r="L17" s="14">
        <f>IF(J17&lt;=0,"",K17/J17)</f>
        <v/>
      </c>
      <c r="M17" s="18">
        <f>IF(L17="","Z",IF(L17&lt;=Параметры!$B$7,"X",IF(L17&lt;=Параметры!$B$8,"Y","Z")))</f>
        <v/>
      </c>
      <c r="N17">
        <f>G17&amp;M17</f>
        <v/>
      </c>
      <c r="P17" s="10" t="n">
        <v>945</v>
      </c>
      <c r="Q17" s="10" t="n">
        <v>901</v>
      </c>
      <c r="R17" s="10" t="n">
        <v>774</v>
      </c>
      <c r="S17" s="10" t="n">
        <v>892</v>
      </c>
      <c r="T17" s="10" t="n">
        <v>825</v>
      </c>
      <c r="U17" s="10" t="n">
        <v>729</v>
      </c>
      <c r="V17" s="10" t="n">
        <v>1102</v>
      </c>
      <c r="W17" s="10" t="n">
        <v>654</v>
      </c>
      <c r="X17" s="10" t="n">
        <v>651</v>
      </c>
      <c r="Y17" s="10" t="n">
        <v>954</v>
      </c>
      <c r="Z17" s="10" t="n">
        <v>1018</v>
      </c>
      <c r="AA17" s="10" t="n">
        <v>943</v>
      </c>
    </row>
    <row r="18">
      <c r="A18" t="n">
        <v>17</v>
      </c>
      <c r="B18" t="inlineStr">
        <is>
          <t>Чиабатта</t>
        </is>
      </c>
      <c r="C18" t="inlineStr">
        <is>
          <t>Выпечка</t>
        </is>
      </c>
      <c r="D18" s="10" t="n">
        <v>968770</v>
      </c>
      <c r="E18" s="14">
        <f>D18/$D$32</f>
        <v/>
      </c>
      <c r="F18" s="14">
        <f>F17+E18</f>
        <v/>
      </c>
      <c r="G18" s="18">
        <f>IF(F18&lt;=Параметры!$B$5+0.0000001,"A",IF(F18&lt;=Параметры!$B$6+0.0000001,"B","C"))</f>
        <v/>
      </c>
      <c r="H18" s="10" t="n">
        <v>479933.85</v>
      </c>
      <c r="I18" t="inlineStr">
        <is>
          <t>B</t>
        </is>
      </c>
      <c r="J18" s="10">
        <f>AVERAGE(P18:AA18)</f>
        <v/>
      </c>
      <c r="K18" s="10">
        <f>STDEV.P(P18:AA18)</f>
        <v/>
      </c>
      <c r="L18" s="14">
        <f>IF(J18&lt;=0,"",K18/J18)</f>
        <v/>
      </c>
      <c r="M18" s="18">
        <f>IF(L18="","Z",IF(L18&lt;=Параметры!$B$7,"X",IF(L18&lt;=Параметры!$B$8,"Y","Z")))</f>
        <v/>
      </c>
      <c r="N18">
        <f>G18&amp;M18</f>
        <v/>
      </c>
      <c r="P18" s="10" t="n">
        <v>856</v>
      </c>
      <c r="Q18" s="10" t="n">
        <v>590</v>
      </c>
      <c r="R18" s="10" t="n">
        <v>827</v>
      </c>
      <c r="S18" s="10" t="n">
        <v>667</v>
      </c>
      <c r="T18" s="10" t="n">
        <v>780</v>
      </c>
      <c r="U18" s="10" t="n">
        <v>848</v>
      </c>
      <c r="V18" s="10" t="n">
        <v>890</v>
      </c>
      <c r="W18" s="10" t="n">
        <v>627</v>
      </c>
      <c r="X18" s="10" t="n">
        <v>530</v>
      </c>
      <c r="Y18" s="10" t="n">
        <v>608</v>
      </c>
      <c r="Z18" s="10" t="n">
        <v>722</v>
      </c>
      <c r="AA18" s="10" t="n">
        <v>862</v>
      </c>
    </row>
    <row r="19">
      <c r="A19" t="n">
        <v>18</v>
      </c>
      <c r="B19" t="inlineStr">
        <is>
          <t>Пирожок с мясом</t>
        </is>
      </c>
      <c r="C19" t="inlineStr">
        <is>
          <t>Выпечка</t>
        </is>
      </c>
      <c r="D19" s="10" t="n">
        <v>807400</v>
      </c>
      <c r="E19" s="14">
        <f>D19/$D$32</f>
        <v/>
      </c>
      <c r="F19" s="14">
        <f>F18+E19</f>
        <v/>
      </c>
      <c r="G19" s="18">
        <f>IF(F19&lt;=Параметры!$B$5+0.0000001,"A",IF(F19&lt;=Параметры!$B$6+0.0000001,"B","C"))</f>
        <v/>
      </c>
      <c r="H19" s="10" t="n">
        <v>530933.89</v>
      </c>
      <c r="I19" t="inlineStr">
        <is>
          <t>B</t>
        </is>
      </c>
      <c r="J19" s="10">
        <f>AVERAGE(P19:AA19)</f>
        <v/>
      </c>
      <c r="K19" s="10">
        <f>STDEV.P(P19:AA19)</f>
        <v/>
      </c>
      <c r="L19" s="14">
        <f>IF(J19&lt;=0,"",K19/J19)</f>
        <v/>
      </c>
      <c r="M19" s="19">
        <f>IF(L19="","Z",IF(L19&lt;=Параметры!$B$7,"X",IF(L19&lt;=Параметры!$B$8,"Y","Z")))</f>
        <v/>
      </c>
      <c r="N19">
        <f>G19&amp;M19</f>
        <v/>
      </c>
      <c r="P19" s="10" t="n">
        <v>420</v>
      </c>
      <c r="Q19" s="10" t="n">
        <v>1053</v>
      </c>
      <c r="R19" s="10" t="n">
        <v>344</v>
      </c>
      <c r="S19" s="10" t="n">
        <v>435</v>
      </c>
      <c r="T19" s="10" t="n">
        <v>454</v>
      </c>
      <c r="U19" s="10" t="n">
        <v>390</v>
      </c>
      <c r="V19" s="10" t="n">
        <v>578</v>
      </c>
      <c r="W19" s="10" t="n">
        <v>816</v>
      </c>
      <c r="X19" s="10" t="n">
        <v>1068</v>
      </c>
      <c r="Y19" s="10" t="n">
        <v>841</v>
      </c>
      <c r="Z19" s="10" t="n">
        <v>658</v>
      </c>
      <c r="AA19" s="10" t="n">
        <v>283</v>
      </c>
    </row>
    <row r="20">
      <c r="A20" t="n">
        <v>19</v>
      </c>
      <c r="B20" t="inlineStr">
        <is>
          <t>Вода</t>
        </is>
      </c>
      <c r="C20" t="inlineStr">
        <is>
          <t>Напитки</t>
        </is>
      </c>
      <c r="D20" s="10" t="n">
        <v>687330</v>
      </c>
      <c r="E20" s="14">
        <f>D20/$D$32</f>
        <v/>
      </c>
      <c r="F20" s="14">
        <f>F19+E20</f>
        <v/>
      </c>
      <c r="G20" s="18">
        <f>IF(F20&lt;=Параметры!$B$5+0.0000001,"A",IF(F20&lt;=Параметры!$B$6+0.0000001,"B","C"))</f>
        <v/>
      </c>
      <c r="H20" s="10" t="n">
        <v>342395.15</v>
      </c>
      <c r="I20" t="inlineStr">
        <is>
          <t>C</t>
        </is>
      </c>
      <c r="J20" s="10">
        <f>AVERAGE(P20:AA20)</f>
        <v/>
      </c>
      <c r="K20" s="10">
        <f>STDEV.P(P20:AA20)</f>
        <v/>
      </c>
      <c r="L20" s="14">
        <f>IF(J20&lt;=0,"",K20/J20)</f>
        <v/>
      </c>
      <c r="M20" s="18">
        <f>IF(L20="","Z",IF(L20&lt;=Параметры!$B$7,"X",IF(L20&lt;=Параметры!$B$8,"Y","Z")))</f>
        <v/>
      </c>
      <c r="N20">
        <f>G20&amp;M20</f>
        <v/>
      </c>
      <c r="P20" s="10" t="n">
        <v>792</v>
      </c>
      <c r="Q20" s="10" t="n">
        <v>839</v>
      </c>
      <c r="R20" s="10" t="n">
        <v>734</v>
      </c>
      <c r="S20" s="10" t="n">
        <v>858</v>
      </c>
      <c r="T20" s="10" t="n">
        <v>815</v>
      </c>
      <c r="U20" s="10" t="n">
        <v>664</v>
      </c>
      <c r="V20" s="10" t="n">
        <v>779</v>
      </c>
      <c r="W20" s="10" t="n">
        <v>820</v>
      </c>
      <c r="X20" s="10" t="n">
        <v>743</v>
      </c>
      <c r="Y20" s="10" t="n">
        <v>710</v>
      </c>
      <c r="Z20" s="10" t="n">
        <v>969</v>
      </c>
      <c r="AA20" s="10" t="n">
        <v>1096</v>
      </c>
    </row>
    <row r="21">
      <c r="A21" t="n">
        <v>20</v>
      </c>
      <c r="B21" t="inlineStr">
        <is>
          <t>Эклер</t>
        </is>
      </c>
      <c r="C21" t="inlineStr">
        <is>
          <t>Десерты</t>
        </is>
      </c>
      <c r="D21" s="10" t="n">
        <v>680400</v>
      </c>
      <c r="E21" s="14">
        <f>D21/$D$32</f>
        <v/>
      </c>
      <c r="F21" s="14">
        <f>F20+E21</f>
        <v/>
      </c>
      <c r="G21" s="18">
        <f>IF(F21&lt;=Параметры!$B$5+0.0000001,"A",IF(F21&lt;=Параметры!$B$6+0.0000001,"B","C"))</f>
        <v/>
      </c>
      <c r="H21" s="10" t="n">
        <v>397450.3</v>
      </c>
      <c r="I21" t="inlineStr">
        <is>
          <t>B</t>
        </is>
      </c>
      <c r="J21" s="10">
        <f>AVERAGE(P21:AA21)</f>
        <v/>
      </c>
      <c r="K21" s="10">
        <f>STDEV.P(P21:AA21)</f>
        <v/>
      </c>
      <c r="L21" s="14">
        <f>IF(J21&lt;=0,"",K21/J21)</f>
        <v/>
      </c>
      <c r="M21" s="19">
        <f>IF(L21="","Z",IF(L21&lt;=Параметры!$B$7,"X",IF(L21&lt;=Параметры!$B$8,"Y","Z")))</f>
        <v/>
      </c>
      <c r="N21">
        <f>G21&amp;M21</f>
        <v/>
      </c>
      <c r="P21" s="10" t="n">
        <v>506</v>
      </c>
      <c r="Q21" s="10" t="n">
        <v>172</v>
      </c>
      <c r="R21" s="10" t="n">
        <v>683</v>
      </c>
      <c r="S21" s="10" t="n">
        <v>600</v>
      </c>
      <c r="T21" s="10" t="n">
        <v>394</v>
      </c>
      <c r="U21" s="10" t="n">
        <v>232</v>
      </c>
      <c r="V21" s="10" t="n">
        <v>183</v>
      </c>
      <c r="W21" s="10" t="n">
        <v>162</v>
      </c>
      <c r="X21" s="10" t="n">
        <v>502</v>
      </c>
      <c r="Y21" s="10" t="n">
        <v>282</v>
      </c>
      <c r="Z21" s="10" t="n">
        <v>340</v>
      </c>
      <c r="AA21" s="10" t="n">
        <v>480</v>
      </c>
    </row>
    <row r="22">
      <c r="A22" t="n">
        <v>21</v>
      </c>
      <c r="B22" t="inlineStr">
        <is>
          <t>Круассан миндальный</t>
        </is>
      </c>
      <c r="C22" t="inlineStr">
        <is>
          <t>Выпечка</t>
        </is>
      </c>
      <c r="D22" s="10" t="n">
        <v>664160</v>
      </c>
      <c r="E22" s="14">
        <f>D22/$D$32</f>
        <v/>
      </c>
      <c r="F22" s="14">
        <f>F21+E22</f>
        <v/>
      </c>
      <c r="G22" s="18">
        <f>IF(F22&lt;=Параметры!$B$5+0.0000001,"A",IF(F22&lt;=Параметры!$B$6+0.0000001,"B","C"))</f>
        <v/>
      </c>
      <c r="H22" s="10" t="n">
        <v>387217.9</v>
      </c>
      <c r="I22" t="inlineStr">
        <is>
          <t>B</t>
        </is>
      </c>
      <c r="J22" s="10">
        <f>AVERAGE(P22:AA22)</f>
        <v/>
      </c>
      <c r="K22" s="10">
        <f>STDEV.P(P22:AA22)</f>
        <v/>
      </c>
      <c r="L22" s="14">
        <f>IF(J22&lt;=0,"",K22/J22)</f>
        <v/>
      </c>
      <c r="M22" s="19">
        <f>IF(L22="","Z",IF(L22&lt;=Параметры!$B$7,"X",IF(L22&lt;=Параметры!$B$8,"Y","Z")))</f>
        <v/>
      </c>
      <c r="N22">
        <f>G22&amp;M22</f>
        <v/>
      </c>
      <c r="P22" s="10" t="n">
        <v>537</v>
      </c>
      <c r="Q22" s="10" t="n">
        <v>325</v>
      </c>
      <c r="R22" s="10" t="n">
        <v>487</v>
      </c>
      <c r="S22" s="10" t="n">
        <v>591</v>
      </c>
      <c r="T22" s="10" t="n">
        <v>531</v>
      </c>
      <c r="U22" s="10" t="n">
        <v>365</v>
      </c>
      <c r="V22" s="10" t="n">
        <v>351</v>
      </c>
      <c r="W22" s="10" t="n">
        <v>206</v>
      </c>
      <c r="X22" s="10" t="n">
        <v>49</v>
      </c>
      <c r="Y22" s="10" t="n">
        <v>131</v>
      </c>
      <c r="Z22" s="10" t="n">
        <v>120</v>
      </c>
      <c r="AA22" s="10" t="n">
        <v>458</v>
      </c>
    </row>
    <row r="23">
      <c r="A23" t="n">
        <v>22</v>
      </c>
      <c r="B23" t="inlineStr">
        <is>
          <t>Хлеб ржаной</t>
        </is>
      </c>
      <c r="C23" t="inlineStr">
        <is>
          <t>Выпечка</t>
        </is>
      </c>
      <c r="D23" s="10" t="n">
        <v>655785</v>
      </c>
      <c r="E23" s="14">
        <f>D23/$D$32</f>
        <v/>
      </c>
      <c r="F23" s="14">
        <f>F22+E23</f>
        <v/>
      </c>
      <c r="G23" s="19">
        <f>IF(F23&lt;=Параметры!$B$5+0.0000001,"A",IF(F23&lt;=Параметры!$B$6+0.0000001,"B","C"))</f>
        <v/>
      </c>
      <c r="H23" s="10" t="n">
        <v>364222.7</v>
      </c>
      <c r="I23" t="inlineStr">
        <is>
          <t>B</t>
        </is>
      </c>
      <c r="J23" s="10">
        <f>AVERAGE(P23:AA23)</f>
        <v/>
      </c>
      <c r="K23" s="10">
        <f>STDEV.P(P23:AA23)</f>
        <v/>
      </c>
      <c r="L23" s="14">
        <f>IF(J23&lt;=0,"",K23/J23)</f>
        <v/>
      </c>
      <c r="M23" s="17">
        <f>IF(L23="","Z",IF(L23&lt;=Параметры!$B$7,"X",IF(L23&lt;=Параметры!$B$8,"Y","Z")))</f>
        <v/>
      </c>
      <c r="N23">
        <f>G23&amp;M23</f>
        <v/>
      </c>
      <c r="P23" s="10" t="n">
        <v>556</v>
      </c>
      <c r="Q23" s="10" t="n">
        <v>552</v>
      </c>
      <c r="R23" s="10" t="n">
        <v>572</v>
      </c>
      <c r="S23" s="10" t="n">
        <v>586</v>
      </c>
      <c r="T23" s="10" t="n">
        <v>582</v>
      </c>
      <c r="U23" s="10" t="n">
        <v>574</v>
      </c>
      <c r="V23" s="10" t="n">
        <v>551</v>
      </c>
      <c r="W23" s="10" t="n">
        <v>591</v>
      </c>
      <c r="X23" s="10" t="n">
        <v>606</v>
      </c>
      <c r="Y23" s="10" t="n">
        <v>604</v>
      </c>
      <c r="Z23" s="10" t="n">
        <v>580</v>
      </c>
      <c r="AA23" s="10" t="n">
        <v>549</v>
      </c>
    </row>
    <row r="24">
      <c r="A24" t="n">
        <v>23</v>
      </c>
      <c r="B24" t="inlineStr">
        <is>
          <t>Маффин</t>
        </is>
      </c>
      <c r="C24" t="inlineStr">
        <is>
          <t>Десерты</t>
        </is>
      </c>
      <c r="D24" s="10" t="n">
        <v>474880</v>
      </c>
      <c r="E24" s="14">
        <f>D24/$D$32</f>
        <v/>
      </c>
      <c r="F24" s="14">
        <f>F23+E24</f>
        <v/>
      </c>
      <c r="G24" s="19">
        <f>IF(F24&lt;=Параметры!$B$5+0.0000001,"A",IF(F24&lt;=Параметры!$B$6+0.0000001,"B","C"))</f>
        <v/>
      </c>
      <c r="H24" s="10" t="n">
        <v>273254.83</v>
      </c>
      <c r="I24" t="inlineStr">
        <is>
          <t>C</t>
        </is>
      </c>
      <c r="J24" s="10">
        <f>AVERAGE(P24:AA24)</f>
        <v/>
      </c>
      <c r="K24" s="10">
        <f>STDEV.P(P24:AA24)</f>
        <v/>
      </c>
      <c r="L24" s="14">
        <f>IF(J24&lt;=0,"",K24/J24)</f>
        <v/>
      </c>
      <c r="M24" s="17">
        <f>IF(L24="","Z",IF(L24&lt;=Параметры!$B$7,"X",IF(L24&lt;=Параметры!$B$8,"Y","Z")))</f>
        <v/>
      </c>
      <c r="N24">
        <f>G24&amp;M24</f>
        <v/>
      </c>
      <c r="P24" s="10" t="n">
        <v>265</v>
      </c>
      <c r="Q24" s="10" t="n">
        <v>278</v>
      </c>
      <c r="R24" s="10" t="n">
        <v>317</v>
      </c>
      <c r="S24" s="10" t="n">
        <v>275</v>
      </c>
      <c r="T24" s="10" t="n">
        <v>301</v>
      </c>
      <c r="U24" s="10" t="n">
        <v>306</v>
      </c>
      <c r="V24" s="10" t="n">
        <v>298</v>
      </c>
      <c r="W24" s="10" t="n">
        <v>281</v>
      </c>
      <c r="X24" s="10" t="n">
        <v>266</v>
      </c>
      <c r="Y24" s="10" t="n">
        <v>290</v>
      </c>
      <c r="Z24" s="10" t="n">
        <v>273</v>
      </c>
      <c r="AA24" s="10" t="n">
        <v>242</v>
      </c>
    </row>
    <row r="25">
      <c r="A25" t="n">
        <v>24</v>
      </c>
      <c r="B25" t="inlineStr">
        <is>
          <t>Багет</t>
        </is>
      </c>
      <c r="C25" t="inlineStr">
        <is>
          <t>Выпечка</t>
        </is>
      </c>
      <c r="D25" s="10" t="n">
        <v>415080</v>
      </c>
      <c r="E25" s="14">
        <f>D25/$D$32</f>
        <v/>
      </c>
      <c r="F25" s="14">
        <f>F24+E25</f>
        <v/>
      </c>
      <c r="G25" s="19">
        <f>IF(F25&lt;=Параметры!$B$5+0.0000001,"A",IF(F25&lt;=Параметры!$B$6+0.0000001,"B","C"))</f>
        <v/>
      </c>
      <c r="H25" s="10" t="n">
        <v>235190</v>
      </c>
      <c r="I25" t="inlineStr">
        <is>
          <t>C</t>
        </is>
      </c>
      <c r="J25" s="10">
        <f>AVERAGE(P25:AA25)</f>
        <v/>
      </c>
      <c r="K25" s="10">
        <f>STDEV.P(P25:AA25)</f>
        <v/>
      </c>
      <c r="L25" s="14">
        <f>IF(J25&lt;=0,"",K25/J25)</f>
        <v/>
      </c>
      <c r="M25" s="19">
        <f>IF(L25="","Z",IF(L25&lt;=Параметры!$B$7,"X",IF(L25&lt;=Параметры!$B$8,"Y","Z")))</f>
        <v/>
      </c>
      <c r="N25">
        <f>G25&amp;M25</f>
        <v/>
      </c>
      <c r="P25" s="10" t="n">
        <v>602</v>
      </c>
      <c r="Q25" s="10" t="n">
        <v>207</v>
      </c>
      <c r="R25" s="10" t="n">
        <v>390</v>
      </c>
      <c r="S25" s="10" t="n">
        <v>371</v>
      </c>
      <c r="T25" s="10" t="n">
        <v>404</v>
      </c>
      <c r="U25" s="10" t="n">
        <v>697</v>
      </c>
      <c r="V25" s="10" t="n">
        <v>136</v>
      </c>
      <c r="W25" s="10" t="n">
        <v>406</v>
      </c>
      <c r="X25" s="10" t="n">
        <v>270</v>
      </c>
      <c r="Y25" s="10" t="n">
        <v>491</v>
      </c>
      <c r="Z25" s="10" t="n">
        <v>223</v>
      </c>
      <c r="AA25" s="10" t="n">
        <v>415</v>
      </c>
    </row>
    <row r="26">
      <c r="A26" t="n">
        <v>25</v>
      </c>
      <c r="B26" t="inlineStr">
        <is>
          <t>Тарт лимонный</t>
        </is>
      </c>
      <c r="C26" t="inlineStr">
        <is>
          <t>Десерты</t>
        </is>
      </c>
      <c r="D26" s="10" t="n">
        <v>406780</v>
      </c>
      <c r="E26" s="14">
        <f>D26/$D$32</f>
        <v/>
      </c>
      <c r="F26" s="14">
        <f>F25+E26</f>
        <v/>
      </c>
      <c r="G26" s="19">
        <f>IF(F26&lt;=Параметры!$B$5+0.0000001,"A",IF(F26&lt;=Параметры!$B$6+0.0000001,"B","C"))</f>
        <v/>
      </c>
      <c r="H26" s="10" t="n">
        <v>246320.39</v>
      </c>
      <c r="I26" t="inlineStr">
        <is>
          <t>C</t>
        </is>
      </c>
      <c r="J26" s="10">
        <f>AVERAGE(P26:AA26)</f>
        <v/>
      </c>
      <c r="K26" s="10">
        <f>STDEV.P(P26:AA26)</f>
        <v/>
      </c>
      <c r="L26" s="14">
        <f>IF(J26&lt;=0,"",K26/J26)</f>
        <v/>
      </c>
      <c r="M26" s="19">
        <f>IF(L26="","Z",IF(L26&lt;=Параметры!$B$7,"X",IF(L26&lt;=Параметры!$B$8,"Y","Z")))</f>
        <v/>
      </c>
      <c r="N26">
        <f>G26&amp;M26</f>
        <v/>
      </c>
      <c r="P26" s="10" t="n">
        <v>87</v>
      </c>
      <c r="Q26" s="10" t="n">
        <v>216</v>
      </c>
      <c r="R26" s="10" t="n">
        <v>217</v>
      </c>
      <c r="S26" s="10" t="n">
        <v>224</v>
      </c>
      <c r="T26" s="10" t="n">
        <v>120</v>
      </c>
      <c r="U26" s="10" t="n">
        <v>208</v>
      </c>
      <c r="V26" s="10" t="n">
        <v>234</v>
      </c>
      <c r="W26" s="10" t="n">
        <v>106</v>
      </c>
      <c r="X26" s="10" t="n">
        <v>138</v>
      </c>
      <c r="Y26" s="10" t="n">
        <v>230</v>
      </c>
      <c r="Z26" s="10" t="n">
        <v>8</v>
      </c>
      <c r="AA26" s="10" t="n">
        <v>61</v>
      </c>
    </row>
    <row r="27">
      <c r="A27" t="n">
        <v>26</v>
      </c>
      <c r="B27" t="inlineStr">
        <is>
          <t>Капучино</t>
        </is>
      </c>
      <c r="C27" t="inlineStr">
        <is>
          <t>Напитки</t>
        </is>
      </c>
      <c r="D27" s="10" t="n">
        <v>394020</v>
      </c>
      <c r="E27" s="14">
        <f>D27/$D$32</f>
        <v/>
      </c>
      <c r="F27" s="14">
        <f>F26+E27</f>
        <v/>
      </c>
      <c r="G27" s="19">
        <f>IF(F27&lt;=Параметры!$B$5+0.0000001,"A",IF(F27&lt;=Параметры!$B$6+0.0000001,"B","C"))</f>
        <v/>
      </c>
      <c r="H27" s="10" t="n">
        <v>240513.39</v>
      </c>
      <c r="I27" t="inlineStr">
        <is>
          <t>C</t>
        </is>
      </c>
      <c r="J27" s="10">
        <f>AVERAGE(P27:AA27)</f>
        <v/>
      </c>
      <c r="K27" s="10">
        <f>STDEV.P(P27:AA27)</f>
        <v/>
      </c>
      <c r="L27" s="14">
        <f>IF(J27&lt;=0,"",K27/J27)</f>
        <v/>
      </c>
      <c r="M27" s="18">
        <f>IF(L27="","Z",IF(L27&lt;=Параметры!$B$7,"X",IF(L27&lt;=Параметры!$B$8,"Y","Z")))</f>
        <v/>
      </c>
      <c r="N27">
        <f>G27&amp;M27</f>
        <v/>
      </c>
      <c r="P27" s="10" t="n">
        <v>137</v>
      </c>
      <c r="Q27" s="10" t="n">
        <v>141</v>
      </c>
      <c r="R27" s="10" t="n">
        <v>173</v>
      </c>
      <c r="S27" s="10" t="n">
        <v>200</v>
      </c>
      <c r="T27" s="10" t="n">
        <v>166</v>
      </c>
      <c r="U27" s="10" t="n">
        <v>133</v>
      </c>
      <c r="V27" s="10" t="n">
        <v>156</v>
      </c>
      <c r="W27" s="10" t="n">
        <v>139</v>
      </c>
      <c r="X27" s="10" t="n">
        <v>184</v>
      </c>
      <c r="Y27" s="10" t="n">
        <v>78</v>
      </c>
      <c r="Z27" s="10" t="n">
        <v>146</v>
      </c>
      <c r="AA27" s="10" t="n">
        <v>138</v>
      </c>
    </row>
    <row r="28">
      <c r="A28" t="n">
        <v>27</v>
      </c>
      <c r="B28" t="inlineStr">
        <is>
          <t>Круассан классический</t>
        </is>
      </c>
      <c r="C28" t="inlineStr">
        <is>
          <t>Выпечка</t>
        </is>
      </c>
      <c r="D28" s="10" t="n">
        <v>273600</v>
      </c>
      <c r="E28" s="14">
        <f>D28/$D$32</f>
        <v/>
      </c>
      <c r="F28" s="14">
        <f>F27+E28</f>
        <v/>
      </c>
      <c r="G28" s="19">
        <f>IF(F28&lt;=Параметры!$B$5+0.0000001,"A",IF(F28&lt;=Параметры!$B$6+0.0000001,"B","C"))</f>
        <v/>
      </c>
      <c r="H28" s="10" t="n">
        <v>116339.26</v>
      </c>
      <c r="I28" t="inlineStr">
        <is>
          <t>C</t>
        </is>
      </c>
      <c r="J28" s="10">
        <f>AVERAGE(P28:AA28)</f>
        <v/>
      </c>
      <c r="K28" s="10">
        <f>STDEV.P(P28:AA28)</f>
        <v/>
      </c>
      <c r="L28" s="14">
        <f>IF(J28&lt;=0,"",K28/J28)</f>
        <v/>
      </c>
      <c r="M28" s="18">
        <f>IF(L28="","Z",IF(L28&lt;=Параметры!$B$7,"X",IF(L28&lt;=Параметры!$B$8,"Y","Z")))</f>
        <v/>
      </c>
      <c r="N28">
        <f>G28&amp;M28</f>
        <v/>
      </c>
      <c r="P28" s="10" t="n">
        <v>163</v>
      </c>
      <c r="Q28" s="10" t="n">
        <v>209</v>
      </c>
      <c r="R28" s="10" t="n">
        <v>150</v>
      </c>
      <c r="S28" s="10" t="n">
        <v>162</v>
      </c>
      <c r="T28" s="10" t="n">
        <v>165</v>
      </c>
      <c r="U28" s="10" t="n">
        <v>210</v>
      </c>
      <c r="V28" s="10" t="n">
        <v>220</v>
      </c>
      <c r="W28" s="10" t="n">
        <v>248</v>
      </c>
      <c r="X28" s="10" t="n">
        <v>166</v>
      </c>
      <c r="Y28" s="10" t="n">
        <v>193</v>
      </c>
      <c r="Z28" s="10" t="n">
        <v>155</v>
      </c>
      <c r="AA28" s="10" t="n">
        <v>239</v>
      </c>
    </row>
    <row r="29">
      <c r="A29" t="n">
        <v>28</v>
      </c>
      <c r="B29" t="inlineStr">
        <is>
          <t>Йогурт</t>
        </is>
      </c>
      <c r="C29" t="inlineStr">
        <is>
          <t>Кухня</t>
        </is>
      </c>
      <c r="D29" s="10" t="n">
        <v>270480</v>
      </c>
      <c r="E29" s="14">
        <f>D29/$D$32</f>
        <v/>
      </c>
      <c r="F29" s="14">
        <f>F28+E29</f>
        <v/>
      </c>
      <c r="G29" s="19">
        <f>IF(F29&lt;=Параметры!$B$5+0.0000001,"A",IF(F29&lt;=Параметры!$B$6+0.0000001,"B","C"))</f>
        <v/>
      </c>
      <c r="H29" s="10" t="n">
        <v>183149.26</v>
      </c>
      <c r="I29" t="inlineStr">
        <is>
          <t>C</t>
        </is>
      </c>
      <c r="J29" s="10">
        <f>AVERAGE(P29:AA29)</f>
        <v/>
      </c>
      <c r="K29" s="10">
        <f>STDEV.P(P29:AA29)</f>
        <v/>
      </c>
      <c r="L29" s="14">
        <f>IF(J29&lt;=0,"",K29/J29)</f>
        <v/>
      </c>
      <c r="M29" s="18">
        <f>IF(L29="","Z",IF(L29&lt;=Параметры!$B$7,"X",IF(L29&lt;=Параметры!$B$8,"Y","Z")))</f>
        <v/>
      </c>
      <c r="N29">
        <f>G29&amp;M29</f>
        <v/>
      </c>
      <c r="P29" s="10" t="n">
        <v>180</v>
      </c>
      <c r="Q29" s="10" t="n">
        <v>225</v>
      </c>
      <c r="R29" s="10" t="n">
        <v>187</v>
      </c>
      <c r="S29" s="10" t="n">
        <v>207</v>
      </c>
      <c r="T29" s="10" t="n">
        <v>162</v>
      </c>
      <c r="U29" s="10" t="n">
        <v>202</v>
      </c>
      <c r="V29" s="10" t="n">
        <v>198</v>
      </c>
      <c r="W29" s="10" t="n">
        <v>184</v>
      </c>
      <c r="X29" s="10" t="n">
        <v>166</v>
      </c>
      <c r="Y29" s="10" t="n">
        <v>225</v>
      </c>
      <c r="Z29" s="10" t="n">
        <v>174</v>
      </c>
      <c r="AA29" s="10" t="n">
        <v>144</v>
      </c>
    </row>
    <row r="30">
      <c r="A30" t="n">
        <v>29</v>
      </c>
      <c r="B30" t="inlineStr">
        <is>
          <t>Печенье овсяное</t>
        </is>
      </c>
      <c r="C30" t="inlineStr">
        <is>
          <t>Десерты</t>
        </is>
      </c>
      <c r="D30" s="10" t="n">
        <v>249200</v>
      </c>
      <c r="E30" s="14">
        <f>D30/$D$32</f>
        <v/>
      </c>
      <c r="F30" s="14">
        <f>F29+E30</f>
        <v/>
      </c>
      <c r="G30" s="19">
        <f>IF(F30&lt;=Параметры!$B$5+0.0000001,"A",IF(F30&lt;=Параметры!$B$6+0.0000001,"B","C"))</f>
        <v/>
      </c>
      <c r="H30" s="10" t="n">
        <v>156338.66</v>
      </c>
      <c r="I30" t="inlineStr">
        <is>
          <t>C</t>
        </is>
      </c>
      <c r="J30" s="10">
        <f>AVERAGE(P30:AA30)</f>
        <v/>
      </c>
      <c r="K30" s="10">
        <f>STDEV.P(P30:AA30)</f>
        <v/>
      </c>
      <c r="L30" s="14">
        <f>IF(J30&lt;=0,"",K30/J30)</f>
        <v/>
      </c>
      <c r="M30" s="17">
        <f>IF(L30="","Z",IF(L30&lt;=Параметры!$B$7,"X",IF(L30&lt;=Параметры!$B$8,"Y","Z")))</f>
        <v/>
      </c>
      <c r="N30">
        <f>G30&amp;M30</f>
        <v/>
      </c>
      <c r="P30" s="10" t="n">
        <v>269</v>
      </c>
      <c r="Q30" s="10" t="n">
        <v>274</v>
      </c>
      <c r="R30" s="10" t="n">
        <v>248</v>
      </c>
      <c r="S30" s="10" t="n">
        <v>250</v>
      </c>
      <c r="T30" s="10" t="n">
        <v>255</v>
      </c>
      <c r="U30" s="10" t="n">
        <v>272</v>
      </c>
      <c r="V30" s="10" t="n">
        <v>255</v>
      </c>
      <c r="W30" s="10" t="n">
        <v>272</v>
      </c>
      <c r="X30" s="10" t="n">
        <v>260</v>
      </c>
      <c r="Y30" s="10" t="n">
        <v>267</v>
      </c>
      <c r="Z30" s="10" t="n">
        <v>229</v>
      </c>
      <c r="AA30" s="10" t="n">
        <v>264</v>
      </c>
    </row>
    <row r="31">
      <c r="A31" t="n">
        <v>30</v>
      </c>
      <c r="B31" t="inlineStr">
        <is>
          <t>Чай чёрный</t>
        </is>
      </c>
      <c r="C31" t="inlineStr">
        <is>
          <t>Напитки</t>
        </is>
      </c>
      <c r="D31" s="10" t="n">
        <v>130200</v>
      </c>
      <c r="E31" s="14">
        <f>D31/$D$32</f>
        <v/>
      </c>
      <c r="F31" s="14">
        <f>F30+E31</f>
        <v/>
      </c>
      <c r="G31" s="19">
        <f>IF(F31&lt;=Параметры!$B$5+0.0000001,"A",IF(F31&lt;=Параметры!$B$6+0.0000001,"B","C"))</f>
        <v/>
      </c>
      <c r="H31" s="10" t="n">
        <v>53510.93</v>
      </c>
      <c r="I31" t="inlineStr">
        <is>
          <t>C</t>
        </is>
      </c>
      <c r="J31" s="10">
        <f>AVERAGE(P31:AA31)</f>
        <v/>
      </c>
      <c r="K31" s="10">
        <f>STDEV.P(P31:AA31)</f>
        <v/>
      </c>
      <c r="L31" s="14">
        <f>IF(J31&lt;=0,"",K31/J31)</f>
        <v/>
      </c>
      <c r="M31" s="19">
        <f>IF(L31="","Z",IF(L31&lt;=Параметры!$B$7,"X",IF(L31&lt;=Параметры!$B$8,"Y","Z")))</f>
        <v/>
      </c>
      <c r="N31">
        <f>G31&amp;M31</f>
        <v/>
      </c>
      <c r="P31" s="10" t="n">
        <v>8</v>
      </c>
      <c r="Q31" s="10" t="n">
        <v>68</v>
      </c>
      <c r="R31" s="10" t="n">
        <v>144</v>
      </c>
      <c r="S31" s="10" t="n">
        <v>29</v>
      </c>
      <c r="T31" s="10" t="n">
        <v>112</v>
      </c>
      <c r="U31" s="10" t="n">
        <v>88</v>
      </c>
      <c r="V31" s="10" t="n">
        <v>92</v>
      </c>
      <c r="W31" s="10" t="n">
        <v>102</v>
      </c>
      <c r="X31" s="10" t="n">
        <v>107</v>
      </c>
      <c r="Y31" s="10" t="n">
        <v>45</v>
      </c>
      <c r="Z31" s="10" t="n">
        <v>118</v>
      </c>
      <c r="AA31" s="10" t="n">
        <v>172</v>
      </c>
    </row>
    <row r="32">
      <c r="B32" s="8" t="inlineStr">
        <is>
          <t>ИТОГО</t>
        </is>
      </c>
      <c r="D32" s="10">
        <f>SUM(D2:D31)</f>
        <v/>
      </c>
      <c r="H32" s="10">
        <f>SUM(H2:H31)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D2FD"/>
  <pageMargins left="0.75" right="0.75" top="1" bottom="1" header="0.5" footer="0.5"/>
  <headerFooter>
    <oddHeader>&amp;CДемо — finmodel.konsilito.ru</oddHeader>
    <oddFooter>&amp;CМодель под ваш бизнес за 3–5 минут: finmodel.konsilito.ru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10" customWidth="1" min="3" max="3"/>
    <col width="14" customWidth="1" min="4" max="4"/>
    <col width="90" customWidth="1" min="5" max="5"/>
    <col width="60" customWidth="1" min="6" max="6"/>
  </cols>
  <sheetData>
    <row r="1">
      <c r="A1" s="7" t="inlineStr">
        <is>
          <t>Группа</t>
        </is>
      </c>
      <c r="B1" s="7" t="inlineStr">
        <is>
          <t>Смысл</t>
        </is>
      </c>
      <c r="C1" s="7" t="inlineStr">
        <is>
          <t>Позиций</t>
        </is>
      </c>
      <c r="D1" s="7" t="inlineStr">
        <is>
          <t>Выручка</t>
        </is>
      </c>
      <c r="E1" s="7" t="inlineStr">
        <is>
          <t>Что делать</t>
        </is>
      </c>
      <c r="F1" s="7" t="inlineStr">
        <is>
          <t>Примеры позиций (топ-5 по выручке)</t>
        </is>
      </c>
    </row>
    <row r="2">
      <c r="A2" s="20" t="inlineStr">
        <is>
          <t>AX</t>
        </is>
      </c>
      <c r="B2" t="inlineStr">
        <is>
          <t>Ядро ассортимента</t>
        </is>
      </c>
      <c r="C2" t="n">
        <v>5</v>
      </c>
      <c r="D2" s="10" t="n">
        <v>15355910</v>
      </c>
      <c r="E2" s="21" t="inlineStr">
        <is>
          <t>Держать всегда в наличии, автозаказ по точке перезаказа, минимальный страховой запас (спрос стабилен). Лучшие условия у поставщика, контроль цены конкурентов.</t>
        </is>
      </c>
      <c r="F2" s="21" t="inlineStr">
        <is>
          <t>Кекс лимонный; Чизкейк; Эспрессо; Лимонад домашний; Гранола</t>
        </is>
      </c>
    </row>
    <row r="3">
      <c r="A3" s="20" t="inlineStr">
        <is>
          <t>AY</t>
        </is>
      </c>
      <c r="B3" t="inlineStr">
        <is>
          <t>Ядро с сезонностью</t>
        </is>
      </c>
      <c r="C3" t="n">
        <v>5</v>
      </c>
      <c r="D3" s="10" t="n">
        <v>27812020</v>
      </c>
      <c r="E3" s="21" t="inlineStr">
        <is>
          <t>Прогноз по сезонности/акциям, страховой запас средний, частые небольшие поставки. Планировать промо заранее.</t>
        </is>
      </c>
      <c r="F3" s="21" t="inlineStr">
        <is>
          <t>Торт на заказ; Боул с киноа; Салат греческий; Сэндвич с лососем; Раф</t>
        </is>
      </c>
    </row>
    <row r="4">
      <c r="A4" s="20" t="inlineStr">
        <is>
          <t>AZ</t>
        </is>
      </c>
      <c r="B4" t="inlineStr">
        <is>
          <t>Ключевые, но непредсказуемые</t>
        </is>
      </c>
      <c r="C4" t="n">
        <v>2</v>
      </c>
      <c r="D4" s="10" t="n">
        <v>3271330</v>
      </c>
      <c r="E4" s="21" t="inlineStr">
        <is>
          <t>Разобрать причину скачков (крупные заказы, перебои, акции). Запас под заказ или по договорённости с клиентом, не замораживать деньги впрок.</t>
        </is>
      </c>
      <c r="F4" s="21" t="inlineStr">
        <is>
          <t>Сэндвич с курицей; Сок свежевыжатый</t>
        </is>
      </c>
    </row>
    <row r="5">
      <c r="A5" s="22" t="inlineStr">
        <is>
          <t>BX</t>
        </is>
      </c>
      <c r="B5" t="inlineStr">
        <is>
          <t>Стабильные середняки</t>
        </is>
      </c>
      <c r="C5" t="n">
        <v>1</v>
      </c>
      <c r="D5" s="10" t="n">
        <v>1078480</v>
      </c>
      <c r="E5" s="21" t="inlineStr">
        <is>
          <t>Автозаказ, минимальные запасы, кандидаты на рост в «A» через выкладку/продвижение.</t>
        </is>
      </c>
      <c r="F5" s="21" t="inlineStr">
        <is>
          <t>Булочка с корицей</t>
        </is>
      </c>
    </row>
    <row r="6">
      <c r="A6" s="22" t="inlineStr">
        <is>
          <t>BY</t>
        </is>
      </c>
      <c r="B6" t="inlineStr">
        <is>
          <t>Середняки с колебаниями</t>
        </is>
      </c>
      <c r="C6" t="n">
        <v>5</v>
      </c>
      <c r="D6" s="10" t="n">
        <v>5213020</v>
      </c>
      <c r="E6" s="21" t="inlineStr">
        <is>
          <t>Запас по среднему спросу + умеренный страховой. Пересматривать раз в квартал.</t>
        </is>
      </c>
      <c r="F6" s="21" t="inlineStr">
        <is>
          <t>Латте; Какао; Пирожок с яблоком; Чиабатта; Вода</t>
        </is>
      </c>
    </row>
    <row r="7">
      <c r="A7" s="22" t="inlineStr">
        <is>
          <t>BZ</t>
        </is>
      </c>
      <c r="B7" t="inlineStr">
        <is>
          <t>Нестабильные середняки</t>
        </is>
      </c>
      <c r="C7" t="n">
        <v>3</v>
      </c>
      <c r="D7" s="10" t="n">
        <v>2151960</v>
      </c>
      <c r="E7" s="21" t="inlineStr">
        <is>
          <t>Заказ под подтверждённый спрос, небольшие партии, проверять ликвидность остатков.</t>
        </is>
      </c>
      <c r="F7" s="21" t="inlineStr">
        <is>
          <t>Пирожок с мясом; Эклер; Круассан миндальный</t>
        </is>
      </c>
    </row>
    <row r="8">
      <c r="A8" s="23" t="inlineStr">
        <is>
          <t>CX</t>
        </is>
      </c>
      <c r="B8" t="inlineStr">
        <is>
          <t>Мелкие, но стабильные</t>
        </is>
      </c>
      <c r="C8" t="n">
        <v>3</v>
      </c>
      <c r="D8" s="10" t="n">
        <v>1379865</v>
      </c>
      <c r="E8" s="21" t="inlineStr">
        <is>
          <t>Оставить минимум, укрупнить заказы (реже и дешевле логистика). Рассмотреть повышение цены.</t>
        </is>
      </c>
      <c r="F8" s="21" t="inlineStr">
        <is>
          <t>Хлеб ржаной; Маффин; Печенье овсяное</t>
        </is>
      </c>
    </row>
    <row r="9">
      <c r="A9" s="23" t="inlineStr">
        <is>
          <t>CY</t>
        </is>
      </c>
      <c r="B9" t="inlineStr">
        <is>
          <t>Мелкие и нерегулярные</t>
        </is>
      </c>
      <c r="C9" t="n">
        <v>3</v>
      </c>
      <c r="D9" s="10" t="n">
        <v>938100</v>
      </c>
      <c r="E9" s="21" t="inlineStr">
        <is>
          <t>Сократить ассортимент до лучших позиций группы, не держать запас — заказ по мере спроса.</t>
        </is>
      </c>
      <c r="F9" s="21" t="inlineStr">
        <is>
          <t>Капучино; Круассан классический; Йогурт</t>
        </is>
      </c>
    </row>
    <row r="10">
      <c r="A10" s="23" t="inlineStr">
        <is>
          <t>CZ</t>
        </is>
      </c>
      <c r="B10" t="inlineStr">
        <is>
          <t>Кандидаты на вывод</t>
        </is>
      </c>
      <c r="C10" t="n">
        <v>3</v>
      </c>
      <c r="D10" s="10" t="n">
        <v>952060</v>
      </c>
      <c r="E10" s="21" t="inlineStr">
        <is>
          <t>Вывести из ассортимента или оставить «под заказ». Распродать остатки, высвободить деньги и место на складе.</t>
        </is>
      </c>
      <c r="F10" s="21" t="inlineStr">
        <is>
          <t>Багет; Тарт лимонный; Чай чёрный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D2FD"/>
  <pageMargins left="0.75" right="0.75" top="1" bottom="1" header="0.5" footer="0.5"/>
  <headerFooter>
    <oddHeader>&amp;CДемо — finmodel.konsilito.ru</oddHeader>
    <oddFooter>&amp;CМодель под ваш бизнес за 3–5 минут: finmodel.konsilito.ru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D2FD"/>
  <pageMargins left="0.75" right="0.75" top="1" bottom="1" header="0.5" footer="0.5"/>
  <headerFooter>
    <oddHeader>&amp;CДемо — finmodel.konsilito.ru</oddHeader>
    <oddFooter>&amp;CМодель под ваш бизнес за 3–5 минут: finmodel.konsilito.ru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Konsilito · finmodel.konsilito.ru</dc:creator>
  <dc:title xmlns:dc="http://purl.org/dc/elements/1.1/">Демо — finmodel.konsilito.ru</dc:title>
  <dcterms:created xmlns:dcterms="http://purl.org/dc/terms/" xmlns:xsi="http://www.w3.org/2001/XMLSchema-instance" xsi:type="dcterms:W3CDTF">2026-10-10T12:00:59Z</dcterms:created>
  <dcterms:modified xmlns:dcterms="http://purl.org/dc/terms/" xmlns:xsi="http://www.w3.org/2001/XMLSchema-instance" xsi:type="dcterms:W3CDTF">2026-10-10T13:07:54Z</dcterms:modified>
</cp:coreProperties>
</file>